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255" yWindow="90" windowWidth="13365" windowHeight="11640" tabRatio="808" firstSheet="4" activeTab="16"/>
  </bookViews>
  <sheets>
    <sheet name="Summary Table" sheetId="24" r:id="rId1"/>
    <sheet name="FT" sheetId="47" r:id="rId2"/>
    <sheet name="FT Users" sheetId="43" r:id="rId3"/>
    <sheet name="Forest Glen" sheetId="29" r:id="rId4"/>
    <sheet name="FG Users" sheetId="31" r:id="rId5"/>
    <sheet name="NC" sheetId="45" r:id="rId6"/>
    <sheet name="NC Users" sheetId="41" r:id="rId7"/>
    <sheet name="Rosslyn" sheetId="46" r:id="rId8"/>
    <sheet name="Ro Users" sheetId="42" r:id="rId9"/>
    <sheet name="WH" sheetId="44" r:id="rId10"/>
    <sheet name="WH Users" sheetId="40" r:id="rId11"/>
    <sheet name="A-N Drive" sheetId="35" r:id="rId12"/>
    <sheet name="A-N Users" sheetId="32" r:id="rId13"/>
    <sheet name="VRE" sheetId="34" r:id="rId14"/>
    <sheet name="VRE Users" sheetId="33" r:id="rId15"/>
    <sheet name="Assumptions" sheetId="30" r:id="rId16"/>
    <sheet name="Mode Operating Assumptions" sheetId="9" r:id="rId17"/>
    <sheet name="Price Assumptions" sheetId="7" r:id="rId18"/>
    <sheet name="Emissions Assumptions" sheetId="10" r:id="rId19"/>
  </sheets>
  <definedNames>
    <definedName name="_AtRisk_SimSetting_AutomaticallyGenerateReports" hidden="1">FALSE</definedName>
    <definedName name="_AtRisk_SimSetting_AutomaticResultsDisplayMode" hidden="1">1</definedName>
    <definedName name="_AtRisk_SimSetting_ConvergenceConfidenceLevel" hidden="1">0.95</definedName>
    <definedName name="_AtRisk_SimSetting_ConvergencePercentileToTest" hidden="1">0.95</definedName>
    <definedName name="_AtRisk_SimSetting_ConvergencePerformMeanTest" hidden="1">TRUE</definedName>
    <definedName name="_AtRisk_SimSetting_ConvergencePerformPercentileTest" hidden="1">TRUE</definedName>
    <definedName name="_AtRisk_SimSetting_ConvergencePerformStdDeviationTest" hidden="1">TRUE</definedName>
    <definedName name="_AtRisk_SimSetting_ConvergenceTestAllOutputs" hidden="1">TRUE</definedName>
    <definedName name="_AtRisk_SimSetting_ConvergenceTestingPeriod" hidden="1">100</definedName>
    <definedName name="_AtRisk_SimSetting_ConvergenceTolerance" hidden="1">0.005</definedName>
    <definedName name="_AtRisk_SimSetting_LiveUpdate" hidden="1">FALSE</definedName>
    <definedName name="_AtRisk_SimSetting_LiveUpdatePeriod" hidden="1">-1</definedName>
    <definedName name="_AtRisk_SimSetting_RandomNumberGenerator" hidden="1">0</definedName>
    <definedName name="_AtRisk_SimSetting_ReportsList" hidden="1">520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1</definedName>
    <definedName name="_AtRisk_SimSetting_StdRecalcWithoutRiskStaticPercentile" hidden="1">0.5</definedName>
    <definedName name="_Fill" localSheetId="1" hidden="1">#REF!</definedName>
    <definedName name="_Fill" localSheetId="2" hidden="1">#REF!</definedName>
    <definedName name="_Fill" localSheetId="5" hidden="1">#REF!</definedName>
    <definedName name="_Fill" localSheetId="6" hidden="1">#REF!</definedName>
    <definedName name="_Fill" localSheetId="8" hidden="1">#REF!</definedName>
    <definedName name="_Fill" localSheetId="7" hidden="1">#REF!</definedName>
    <definedName name="_Fill" localSheetId="9" hidden="1">#REF!</definedName>
    <definedName name="_Fill" localSheetId="10" hidden="1">#REF!</definedName>
    <definedName name="_Fill" hidden="1">#REF!</definedName>
    <definedName name="_Order1" hidden="1">255</definedName>
    <definedName name="_Order2" hidden="1">255</definedName>
    <definedName name="BIG" localSheetId="17" hidden="1">{#N/A,#N/A,FALSE,"Pricing";#N/A,#N/A,FALSE,"Summary";#N/A,#N/A,FALSE,"CompProd";#N/A,#N/A,FALSE,"CompJobhrs";#N/A,#N/A,FALSE,"Escalation";#N/A,#N/A,FALSE,"Contingency";#N/A,#N/A,FALSE,"GM";#N/A,#N/A,FALSE,"CompWage";#N/A,#N/A,FALSE,"costSum"}</definedName>
    <definedName name="BIG" hidden="1">{#N/A,#N/A,FALSE,"Pricing";#N/A,#N/A,FALSE,"Summary";#N/A,#N/A,FALSE,"CompProd";#N/A,#N/A,FALSE,"CompJobhrs";#N/A,#N/A,FALSE,"Escalation";#N/A,#N/A,FALSE,"Contingency";#N/A,#N/A,FALSE,"GM";#N/A,#N/A,FALSE,"CompWage";#N/A,#N/A,FALSE,"costSum"}</definedName>
    <definedName name="CHUCK" localSheetId="17" hidden="1">{#N/A,#N/A,FALSE,"Pricing";#N/A,#N/A,FALSE,"Summary";#N/A,#N/A,FALSE,"CompProd";#N/A,#N/A,FALSE,"CompJobhrs";#N/A,#N/A,FALSE,"Escalation";#N/A,#N/A,FALSE,"Contingency";#N/A,#N/A,FALSE,"GM";#N/A,#N/A,FALSE,"CompWage";#N/A,#N/A,FALSE,"costSum"}</definedName>
    <definedName name="CHUCK" hidden="1">{#N/A,#N/A,FALSE,"Pricing";#N/A,#N/A,FALSE,"Summary";#N/A,#N/A,FALSE,"CompProd";#N/A,#N/A,FALSE,"CompJobhrs";#N/A,#N/A,FALSE,"Escalation";#N/A,#N/A,FALSE,"Contingency";#N/A,#N/A,FALSE,"GM";#N/A,#N/A,FALSE,"CompWage";#N/A,#N/A,FALSE,"costSum"}</definedName>
    <definedName name="JANA" localSheetId="17" hidden="1">{#N/A,#N/A,FALSE,"Pricing";#N/A,#N/A,FALSE,"Summary";#N/A,#N/A,FALSE,"CompProd";#N/A,#N/A,FALSE,"CompJobhrs";#N/A,#N/A,FALSE,"Escalation";#N/A,#N/A,FALSE,"Contingency";#N/A,#N/A,FALSE,"GM";#N/A,#N/A,FALSE,"CompWage";#N/A,#N/A,FALSE,"costSum"}</definedName>
    <definedName name="JANA" hidden="1">{#N/A,#N/A,FALSE,"Pricing";#N/A,#N/A,FALSE,"Summary";#N/A,#N/A,FALSE,"CompProd";#N/A,#N/A,FALSE,"CompJobhrs";#N/A,#N/A,FALSE,"Escalation";#N/A,#N/A,FALSE,"Contingency";#N/A,#N/A,FALSE,"GM";#N/A,#N/A,FALSE,"CompWage";#N/A,#N/A,FALSE,"costSum"}</definedName>
    <definedName name="RiskAfterRecalcMacro" hidden="1">"risky_CP"</definedName>
    <definedName name="RiskAfterSimMacro" hidden="1">""</definedName>
    <definedName name="RiskBeforeRecalcMacro" hidden="1">"macro3"</definedName>
    <definedName name="RiskBeforeSimMacro" hidden="1">""</definedName>
    <definedName name="RiskCollectDistributionSamples" hidden="1">0</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0</definedName>
    <definedName name="RiskUpdateDisplay" hidden="1">FALSE</definedName>
    <definedName name="RiskUseDifferentSeedForEachSim" hidden="1">FALSE</definedName>
    <definedName name="RiskUseFixedSeed" hidden="1">FALSE</definedName>
    <definedName name="RiskUseMultipleCPUs" hidden="1">FALSE</definedName>
    <definedName name="Services2" localSheetId="17" hidden="1">{#N/A,#N/A,FALSE,"Pricing";#N/A,#N/A,FALSE,"Summary";#N/A,#N/A,FALSE,"CompProd";#N/A,#N/A,FALSE,"CompJobhrs";#N/A,#N/A,FALSE,"Escalation";#N/A,#N/A,FALSE,"Contingency";#N/A,#N/A,FALSE,"GM";#N/A,#N/A,FALSE,"CompWage";#N/A,#N/A,FALSE,"costSum"}</definedName>
    <definedName name="Services2" hidden="1">{#N/A,#N/A,FALSE,"Pricing";#N/A,#N/A,FALSE,"Summary";#N/A,#N/A,FALSE,"CompProd";#N/A,#N/A,FALSE,"CompJobhrs";#N/A,#N/A,FALSE,"Escalation";#N/A,#N/A,FALSE,"Contingency";#N/A,#N/A,FALSE,"GM";#N/A,#N/A,FALSE,"CompWage";#N/A,#N/A,FALSE,"costSum"}</definedName>
    <definedName name="temp" localSheetId="17" hidden="1">{#N/A,#N/A,FALSE,"Pricing";#N/A,#N/A,FALSE,"Summary";#N/A,#N/A,FALSE,"CompProd";#N/A,#N/A,FALSE,"CompJobhrs";#N/A,#N/A,FALSE,"Escalation";#N/A,#N/A,FALSE,"Contingency";#N/A,#N/A,FALSE,"GM";#N/A,#N/A,FALSE,"CompWage";#N/A,#N/A,FALSE,"costSum"}</definedName>
    <definedName name="temp" hidden="1">{#N/A,#N/A,FALSE,"Pricing";#N/A,#N/A,FALSE,"Summary";#N/A,#N/A,FALSE,"CompProd";#N/A,#N/A,FALSE,"CompJobhrs";#N/A,#N/A,FALSE,"Escalation";#N/A,#N/A,FALSE,"Contingency";#N/A,#N/A,FALSE,"GM";#N/A,#N/A,FALSE,"CompWage";#N/A,#N/A,FALSE,"costSum"}</definedName>
    <definedName name="test" localSheetId="17" hidden="1">{#N/A,#N/A,FALSE,"Pricing";#N/A,#N/A,FALSE,"Summary";#N/A,#N/A,FALSE,"CompProd";#N/A,#N/A,FALSE,"CompJobhrs";#N/A,#N/A,FALSE,"Escalation";#N/A,#N/A,FALSE,"Contingency";#N/A,#N/A,FALSE,"GM";#N/A,#N/A,FALSE,"CompWage";#N/A,#N/A,FALSE,"costSum"}</definedName>
    <definedName name="test" hidden="1">{#N/A,#N/A,FALSE,"Pricing";#N/A,#N/A,FALSE,"Summary";#N/A,#N/A,FALSE,"CompProd";#N/A,#N/A,FALSE,"CompJobhrs";#N/A,#N/A,FALSE,"Escalation";#N/A,#N/A,FALSE,"Contingency";#N/A,#N/A,FALSE,"GM";#N/A,#N/A,FALSE,"CompWage";#N/A,#N/A,FALSE,"costSum"}</definedName>
    <definedName name="wrn.all." localSheetId="17" hidden="1">{#N/A,#N/A,FALSE,"Pricing";#N/A,#N/A,FALSE,"Summary";#N/A,#N/A,FALSE,"CompProd";#N/A,#N/A,FALSE,"CompJobhrs";#N/A,#N/A,FALSE,"Escalation";#N/A,#N/A,FALSE,"Contingency";#N/A,#N/A,FALSE,"GM";#N/A,#N/A,FALSE,"CompWage";#N/A,#N/A,FALSE,"costSum"}</definedName>
    <definedName name="wrn.all." hidden="1">{#N/A,#N/A,FALSE,"Pricing";#N/A,#N/A,FALSE,"Summary";#N/A,#N/A,FALSE,"CompProd";#N/A,#N/A,FALSE,"CompJobhrs";#N/A,#N/A,FALSE,"Escalation";#N/A,#N/A,FALSE,"Contingency";#N/A,#N/A,FALSE,"GM";#N/A,#N/A,FALSE,"CompWage";#N/A,#N/A,FALSE,"costSum"}</definedName>
    <definedName name="wrn.ESTIMATE." localSheetId="17" hidden="1">{#N/A,#N/A,FALSE,"SUM";#N/A,#N/A,FALSE,"MECH.";#N/A,#N/A,FALSE,"PIPE";#N/A,#N/A,FALSE,"ELECT";#N/A,#N/A,FALSE,"PR CONT";#N/A,#N/A,FALSE,"STRUCT"}</definedName>
    <definedName name="wrn.ESTIMATE." hidden="1">{#N/A,#N/A,FALSE,"SUM";#N/A,#N/A,FALSE,"MECH.";#N/A,#N/A,FALSE,"PIPE";#N/A,#N/A,FALSE,"ELECT";#N/A,#N/A,FALSE,"PR CONT";#N/A,#N/A,FALSE,"STRUCT"}</definedName>
    <definedName name="wrn.Labor._.Cost._.Workbook." localSheetId="17" hidden="1">{#N/A,#N/A,FALSE,"RATES";#N/A,#N/A,FALSE,"LOADED RATES"}</definedName>
    <definedName name="wrn.Labor._.Cost._.Workbook." hidden="1">{#N/A,#N/A,FALSE,"RATES";#N/A,#N/A,FALSE,"LOADED RATES"}</definedName>
  </definedNames>
  <calcPr calcId="125725"/>
</workbook>
</file>

<file path=xl/calcChain.xml><?xml version="1.0" encoding="utf-8"?>
<calcChain xmlns="http://schemas.openxmlformats.org/spreadsheetml/2006/main">
  <c r="AA14" i="33"/>
  <c r="Z14"/>
  <c r="Y14"/>
  <c r="X14"/>
  <c r="W14"/>
  <c r="V14"/>
  <c r="U14"/>
  <c r="T14"/>
  <c r="S14"/>
  <c r="R14"/>
  <c r="Q14"/>
  <c r="P14"/>
  <c r="O14"/>
  <c r="N14"/>
  <c r="M14"/>
  <c r="L14"/>
  <c r="K14"/>
  <c r="J14"/>
  <c r="I14"/>
  <c r="H14"/>
  <c r="G14"/>
  <c r="F14"/>
  <c r="D52" i="35"/>
  <c r="AC333" i="29"/>
  <c r="AB333"/>
  <c r="AA333"/>
  <c r="Z333"/>
  <c r="Y333"/>
  <c r="X333"/>
  <c r="W333"/>
  <c r="V333"/>
  <c r="U333"/>
  <c r="T333"/>
  <c r="S333"/>
  <c r="R333"/>
  <c r="Q333"/>
  <c r="P333"/>
  <c r="O333"/>
  <c r="N333"/>
  <c r="M333"/>
  <c r="L333"/>
  <c r="K333"/>
  <c r="J333"/>
  <c r="I333"/>
  <c r="H333"/>
  <c r="G333"/>
  <c r="F333"/>
  <c r="AC283"/>
  <c r="AB283"/>
  <c r="AA283"/>
  <c r="Z283"/>
  <c r="Y283"/>
  <c r="X283"/>
  <c r="W283"/>
  <c r="V283"/>
  <c r="U283"/>
  <c r="T283"/>
  <c r="S283"/>
  <c r="R283"/>
  <c r="Q283"/>
  <c r="P283"/>
  <c r="O283"/>
  <c r="N283"/>
  <c r="M283"/>
  <c r="L283"/>
  <c r="K283"/>
  <c r="J283"/>
  <c r="I283"/>
  <c r="H283"/>
  <c r="G283"/>
  <c r="F283"/>
  <c r="AD273"/>
  <c r="AD272"/>
  <c r="AD271"/>
  <c r="AD270"/>
  <c r="AB273"/>
  <c r="X273"/>
  <c r="T273"/>
  <c r="P273"/>
  <c r="L273"/>
  <c r="H273"/>
  <c r="AC272"/>
  <c r="AC273" s="1"/>
  <c r="AB272"/>
  <c r="AA272"/>
  <c r="AA273" s="1"/>
  <c r="Z272"/>
  <c r="Z273" s="1"/>
  <c r="Y272"/>
  <c r="Y273" s="1"/>
  <c r="X272"/>
  <c r="W272"/>
  <c r="W273" s="1"/>
  <c r="V272"/>
  <c r="V273" s="1"/>
  <c r="U272"/>
  <c r="U273" s="1"/>
  <c r="T272"/>
  <c r="S272"/>
  <c r="S273" s="1"/>
  <c r="R272"/>
  <c r="R273" s="1"/>
  <c r="Q272"/>
  <c r="Q273" s="1"/>
  <c r="P272"/>
  <c r="O272"/>
  <c r="O273" s="1"/>
  <c r="N272"/>
  <c r="N273" s="1"/>
  <c r="M272"/>
  <c r="M273" s="1"/>
  <c r="L272"/>
  <c r="K272"/>
  <c r="K273" s="1"/>
  <c r="J272"/>
  <c r="J273" s="1"/>
  <c r="I272"/>
  <c r="I273" s="1"/>
  <c r="H272"/>
  <c r="G272"/>
  <c r="G273" s="1"/>
  <c r="Z271"/>
  <c r="V271"/>
  <c r="R271"/>
  <c r="N271"/>
  <c r="J271"/>
  <c r="AC270"/>
  <c r="AC271" s="1"/>
  <c r="AB270"/>
  <c r="AB271" s="1"/>
  <c r="AA270"/>
  <c r="AA271" s="1"/>
  <c r="Z270"/>
  <c r="Y270"/>
  <c r="Y271" s="1"/>
  <c r="X270"/>
  <c r="X271" s="1"/>
  <c r="W270"/>
  <c r="W271" s="1"/>
  <c r="V270"/>
  <c r="U270"/>
  <c r="U271" s="1"/>
  <c r="T270"/>
  <c r="T271" s="1"/>
  <c r="S270"/>
  <c r="S271" s="1"/>
  <c r="R270"/>
  <c r="Q270"/>
  <c r="Q271" s="1"/>
  <c r="P270"/>
  <c r="P271" s="1"/>
  <c r="O270"/>
  <c r="O271" s="1"/>
  <c r="N270"/>
  <c r="M270"/>
  <c r="M271" s="1"/>
  <c r="L270"/>
  <c r="L271" s="1"/>
  <c r="K270"/>
  <c r="K271" s="1"/>
  <c r="J270"/>
  <c r="I270"/>
  <c r="I271" s="1"/>
  <c r="H270"/>
  <c r="H271" s="1"/>
  <c r="G270"/>
  <c r="G271" s="1"/>
  <c r="F273"/>
  <c r="F271"/>
  <c r="F270"/>
  <c r="F272"/>
  <c r="D272"/>
  <c r="D270"/>
  <c r="D273"/>
  <c r="D271"/>
  <c r="D179" i="35" l="1"/>
  <c r="D176"/>
  <c r="D111" i="44"/>
  <c r="D108"/>
  <c r="D117" i="45"/>
  <c r="D114"/>
  <c r="D212" i="29"/>
  <c r="D215" s="1"/>
  <c r="D118" i="47"/>
  <c r="D115"/>
  <c r="D54"/>
  <c r="D53"/>
  <c r="D52"/>
  <c r="D18" i="41"/>
  <c r="B114" i="24"/>
  <c r="G93" i="34"/>
  <c r="G94" s="1"/>
  <c r="G87"/>
  <c r="F94"/>
  <c r="F93"/>
  <c r="F87"/>
  <c r="G202" i="35"/>
  <c r="G196"/>
  <c r="F202"/>
  <c r="F196"/>
  <c r="AC134" i="44"/>
  <c r="AB134"/>
  <c r="AA134"/>
  <c r="Z134"/>
  <c r="Y134"/>
  <c r="X134"/>
  <c r="W134"/>
  <c r="V134"/>
  <c r="U134"/>
  <c r="T134"/>
  <c r="S134"/>
  <c r="R134"/>
  <c r="Q134"/>
  <c r="P134"/>
  <c r="O134"/>
  <c r="N134"/>
  <c r="M134"/>
  <c r="L134"/>
  <c r="K134"/>
  <c r="J134"/>
  <c r="I134"/>
  <c r="H134"/>
  <c r="G134"/>
  <c r="AC128"/>
  <c r="AB128"/>
  <c r="AA128"/>
  <c r="Z128"/>
  <c r="Y128"/>
  <c r="X128"/>
  <c r="W128"/>
  <c r="V128"/>
  <c r="U128"/>
  <c r="T128"/>
  <c r="S128"/>
  <c r="R128"/>
  <c r="Q128"/>
  <c r="P128"/>
  <c r="O128"/>
  <c r="N128"/>
  <c r="M128"/>
  <c r="L128"/>
  <c r="K128"/>
  <c r="J128"/>
  <c r="I128"/>
  <c r="H128"/>
  <c r="G128"/>
  <c r="F134"/>
  <c r="F128"/>
  <c r="F140" i="45"/>
  <c r="F134"/>
  <c r="F34" i="31"/>
  <c r="E34"/>
  <c r="J5" i="29"/>
  <c r="D76" i="41"/>
  <c r="D75"/>
  <c r="D69"/>
  <c r="D68"/>
  <c r="D6" s="1"/>
  <c r="D13"/>
  <c r="D12"/>
  <c r="D11"/>
  <c r="D7"/>
  <c r="D5"/>
  <c r="D10" i="42" l="1"/>
  <c r="D7"/>
  <c r="D6"/>
  <c r="D5"/>
  <c r="D97"/>
  <c r="D12" s="1"/>
  <c r="D96"/>
  <c r="D11" s="1"/>
  <c r="D84"/>
  <c r="D83"/>
  <c r="D20"/>
  <c r="D19"/>
  <c r="C19"/>
  <c r="D69" i="46"/>
  <c r="D43"/>
  <c r="I43" i="42" l="1"/>
  <c r="I42"/>
  <c r="K43"/>
  <c r="K42"/>
  <c r="I41"/>
  <c r="F49" i="46"/>
  <c r="C74" i="9"/>
  <c r="C103"/>
  <c r="D67" i="29"/>
  <c r="D66"/>
  <c r="D58"/>
  <c r="D63" i="35"/>
  <c r="D62"/>
  <c r="D61"/>
  <c r="D47" i="44"/>
  <c r="D46"/>
  <c r="D38"/>
  <c r="D80" i="46"/>
  <c r="D53"/>
  <c r="D52"/>
  <c r="D44"/>
  <c r="AC15" i="10"/>
  <c r="AC12"/>
  <c r="AC6"/>
  <c r="B6" i="7"/>
  <c r="B5"/>
  <c r="B4"/>
  <c r="D6" i="10"/>
  <c r="E6"/>
  <c r="F6"/>
  <c r="G6"/>
  <c r="H6"/>
  <c r="I6"/>
  <c r="J6"/>
  <c r="K6"/>
  <c r="L6"/>
  <c r="M6"/>
  <c r="N6"/>
  <c r="O6"/>
  <c r="P6"/>
  <c r="Q6"/>
  <c r="R6"/>
  <c r="S6"/>
  <c r="T6"/>
  <c r="U6"/>
  <c r="V6"/>
  <c r="W6"/>
  <c r="X6"/>
  <c r="Y6"/>
  <c r="Z6"/>
  <c r="AA6"/>
  <c r="AB6"/>
  <c r="D12"/>
  <c r="C90" i="42"/>
  <c r="C77"/>
  <c r="Z94"/>
  <c r="Y94"/>
  <c r="X94"/>
  <c r="W94"/>
  <c r="V94"/>
  <c r="U94"/>
  <c r="T94"/>
  <c r="S94"/>
  <c r="R94"/>
  <c r="Q94"/>
  <c r="P94"/>
  <c r="O94"/>
  <c r="N94"/>
  <c r="M94"/>
  <c r="L94"/>
  <c r="K94"/>
  <c r="J94"/>
  <c r="I94"/>
  <c r="H94"/>
  <c r="G94"/>
  <c r="F94"/>
  <c r="E94"/>
  <c r="D94"/>
  <c r="C94"/>
  <c r="G45"/>
  <c r="G44"/>
  <c r="G46"/>
  <c r="Z35" i="31"/>
  <c r="Y35"/>
  <c r="X35"/>
  <c r="W35"/>
  <c r="V35"/>
  <c r="U35"/>
  <c r="T35"/>
  <c r="S35"/>
  <c r="R35"/>
  <c r="Q35"/>
  <c r="P35"/>
  <c r="O35"/>
  <c r="N35"/>
  <c r="M35"/>
  <c r="L35"/>
  <c r="K35"/>
  <c r="J35"/>
  <c r="I35"/>
  <c r="H35"/>
  <c r="G35"/>
  <c r="B36" i="42"/>
  <c r="B35"/>
  <c r="D36"/>
  <c r="D35"/>
  <c r="C36"/>
  <c r="C35"/>
  <c r="J16"/>
  <c r="T16"/>
  <c r="T15"/>
  <c r="J15"/>
  <c r="AD6" i="34"/>
  <c r="AD5"/>
  <c r="C25" i="32"/>
  <c r="Z24"/>
  <c r="T63" i="31"/>
  <c r="T49" i="32"/>
  <c r="J49"/>
  <c r="T38" i="40"/>
  <c r="J38"/>
  <c r="T58" i="42"/>
  <c r="J58"/>
  <c r="T44" i="41"/>
  <c r="J44"/>
  <c r="T44" i="43"/>
  <c r="J44"/>
  <c r="I58" i="31"/>
  <c r="I59" s="1"/>
  <c r="H58"/>
  <c r="H59" s="1"/>
  <c r="G63" s="1"/>
  <c r="E58"/>
  <c r="E59" s="1"/>
  <c r="D58"/>
  <c r="D59" s="1"/>
  <c r="C6" i="42"/>
  <c r="C7"/>
  <c r="C11"/>
  <c r="D28"/>
  <c r="D29" s="1"/>
  <c r="C12"/>
  <c r="C27"/>
  <c r="D53"/>
  <c r="E53"/>
  <c r="H53"/>
  <c r="H54" s="1"/>
  <c r="I53"/>
  <c r="I54" s="1"/>
  <c r="D54"/>
  <c r="E54"/>
  <c r="D63"/>
  <c r="E63"/>
  <c r="F63"/>
  <c r="A70" s="1"/>
  <c r="G63"/>
  <c r="A68" s="1"/>
  <c r="H63"/>
  <c r="I63"/>
  <c r="A69" s="1"/>
  <c r="J63"/>
  <c r="K63"/>
  <c r="L63"/>
  <c r="M63"/>
  <c r="N63"/>
  <c r="O63"/>
  <c r="P63"/>
  <c r="Q63"/>
  <c r="R63"/>
  <c r="A67" s="1"/>
  <c r="E26" i="24"/>
  <c r="J20" i="42" l="1"/>
  <c r="T20"/>
  <c r="D38"/>
  <c r="P16" s="1"/>
  <c r="D37"/>
  <c r="V15" s="1"/>
  <c r="C37"/>
  <c r="E15" s="1"/>
  <c r="W15"/>
  <c r="Z15"/>
  <c r="C58"/>
  <c r="H15"/>
  <c r="C38"/>
  <c r="F16" s="1"/>
  <c r="K15"/>
  <c r="U63" i="31"/>
  <c r="Y63"/>
  <c r="X58" i="42"/>
  <c r="C28"/>
  <c r="C29" s="1"/>
  <c r="G58"/>
  <c r="H58"/>
  <c r="Z58"/>
  <c r="K58"/>
  <c r="O58"/>
  <c r="S58"/>
  <c r="U58"/>
  <c r="Y58"/>
  <c r="F58"/>
  <c r="N58"/>
  <c r="R58"/>
  <c r="E58"/>
  <c r="I58"/>
  <c r="M58"/>
  <c r="Q58"/>
  <c r="W58"/>
  <c r="D58"/>
  <c r="L58"/>
  <c r="P58"/>
  <c r="V58"/>
  <c r="S63" i="31"/>
  <c r="I63"/>
  <c r="N63"/>
  <c r="J63"/>
  <c r="D63"/>
  <c r="H63"/>
  <c r="C63"/>
  <c r="L63"/>
  <c r="R63"/>
  <c r="X63"/>
  <c r="F63"/>
  <c r="K63"/>
  <c r="P63"/>
  <c r="W63"/>
  <c r="Z63"/>
  <c r="E63"/>
  <c r="O63"/>
  <c r="M63"/>
  <c r="Q63"/>
  <c r="V63"/>
  <c r="D27" i="42"/>
  <c r="D21" s="1"/>
  <c r="D22" s="1"/>
  <c r="C25"/>
  <c r="A72"/>
  <c r="A71"/>
  <c r="D25"/>
  <c r="D26" s="1"/>
  <c r="B104" i="24"/>
  <c r="C104" s="1"/>
  <c r="D104" s="1"/>
  <c r="E104" s="1"/>
  <c r="F104" s="1"/>
  <c r="G104" s="1"/>
  <c r="H104" s="1"/>
  <c r="I104" s="1"/>
  <c r="J104" s="1"/>
  <c r="K104" s="1"/>
  <c r="L104" s="1"/>
  <c r="M104" s="1"/>
  <c r="N104" s="1"/>
  <c r="O104" s="1"/>
  <c r="P104" s="1"/>
  <c r="Q104" s="1"/>
  <c r="R104" s="1"/>
  <c r="S104" s="1"/>
  <c r="T104" s="1"/>
  <c r="U104" s="1"/>
  <c r="V104" s="1"/>
  <c r="W104" s="1"/>
  <c r="X104" s="1"/>
  <c r="Y104" s="1"/>
  <c r="B101"/>
  <c r="C101" s="1"/>
  <c r="D101" s="1"/>
  <c r="E101" s="1"/>
  <c r="F101" s="1"/>
  <c r="G101" s="1"/>
  <c r="H101" s="1"/>
  <c r="I101" s="1"/>
  <c r="J101" s="1"/>
  <c r="K101" s="1"/>
  <c r="L101" s="1"/>
  <c r="M101" s="1"/>
  <c r="N101" s="1"/>
  <c r="O101" s="1"/>
  <c r="P101" s="1"/>
  <c r="Q101" s="1"/>
  <c r="R101" s="1"/>
  <c r="S101" s="1"/>
  <c r="T101" s="1"/>
  <c r="U101" s="1"/>
  <c r="V101" s="1"/>
  <c r="W101" s="1"/>
  <c r="X101" s="1"/>
  <c r="Y101" s="1"/>
  <c r="D78" i="35"/>
  <c r="D43" i="45"/>
  <c r="D69"/>
  <c r="D69" i="47"/>
  <c r="D43"/>
  <c r="D63" i="44"/>
  <c r="D37"/>
  <c r="U16" i="42" l="1"/>
  <c r="S16"/>
  <c r="V16"/>
  <c r="V20" s="1"/>
  <c r="D15"/>
  <c r="K16"/>
  <c r="K20" s="1"/>
  <c r="L16"/>
  <c r="Z16"/>
  <c r="Z20" s="1"/>
  <c r="X16"/>
  <c r="Y16"/>
  <c r="I16"/>
  <c r="H16"/>
  <c r="H20" s="1"/>
  <c r="R16"/>
  <c r="Q16"/>
  <c r="W16"/>
  <c r="W20" s="1"/>
  <c r="O16"/>
  <c r="Y15"/>
  <c r="D16"/>
  <c r="N16"/>
  <c r="M16"/>
  <c r="O15"/>
  <c r="L15"/>
  <c r="M15"/>
  <c r="M20" s="1"/>
  <c r="N15"/>
  <c r="G16"/>
  <c r="U15"/>
  <c r="U20" s="1"/>
  <c r="Q15"/>
  <c r="R15"/>
  <c r="C16"/>
  <c r="I15"/>
  <c r="C15"/>
  <c r="F15"/>
  <c r="F20" s="1"/>
  <c r="X15"/>
  <c r="S15"/>
  <c r="P15"/>
  <c r="P20" s="1"/>
  <c r="E16"/>
  <c r="E20" s="1"/>
  <c r="G15"/>
  <c r="G20" s="1"/>
  <c r="A73"/>
  <c r="L73" s="1"/>
  <c r="L68" s="1"/>
  <c r="S20" l="1"/>
  <c r="L20"/>
  <c r="X20"/>
  <c r="Y20"/>
  <c r="H73"/>
  <c r="H72" s="1"/>
  <c r="Q73"/>
  <c r="Q67" s="1"/>
  <c r="Q81" s="1"/>
  <c r="Q84" s="1"/>
  <c r="Q7" s="1"/>
  <c r="R20"/>
  <c r="O20"/>
  <c r="I20"/>
  <c r="M73"/>
  <c r="M72" s="1"/>
  <c r="O73"/>
  <c r="O72" s="1"/>
  <c r="Q20"/>
  <c r="I73"/>
  <c r="I69" s="1"/>
  <c r="N20"/>
  <c r="X73"/>
  <c r="X68" s="1"/>
  <c r="X97" s="1"/>
  <c r="X12" s="1"/>
  <c r="G73"/>
  <c r="G71" s="1"/>
  <c r="F73"/>
  <c r="F67" s="1"/>
  <c r="F81" s="1"/>
  <c r="F5" s="1"/>
  <c r="J73"/>
  <c r="J71" s="1"/>
  <c r="S73"/>
  <c r="S67" s="1"/>
  <c r="S81" s="1"/>
  <c r="S83" s="1"/>
  <c r="S6" s="1"/>
  <c r="K73"/>
  <c r="K72" s="1"/>
  <c r="C73"/>
  <c r="C67" s="1"/>
  <c r="C81" s="1"/>
  <c r="T73"/>
  <c r="T67" s="1"/>
  <c r="T81" s="1"/>
  <c r="T84" s="1"/>
  <c r="T7" s="1"/>
  <c r="W73"/>
  <c r="W68" s="1"/>
  <c r="W97" s="1"/>
  <c r="W12" s="1"/>
  <c r="V73"/>
  <c r="V69" s="1"/>
  <c r="Z73"/>
  <c r="Z71" s="1"/>
  <c r="P73"/>
  <c r="P72" s="1"/>
  <c r="E73"/>
  <c r="E71" s="1"/>
  <c r="D73"/>
  <c r="D70" s="1"/>
  <c r="R73"/>
  <c r="R69" s="1"/>
  <c r="U73"/>
  <c r="U71" s="1"/>
  <c r="Y73"/>
  <c r="Y72" s="1"/>
  <c r="N73"/>
  <c r="N71" s="1"/>
  <c r="L70"/>
  <c r="Y70"/>
  <c r="L67"/>
  <c r="L81" s="1"/>
  <c r="L84" s="1"/>
  <c r="L7" s="1"/>
  <c r="L72"/>
  <c r="L69"/>
  <c r="L71"/>
  <c r="L97"/>
  <c r="L12" s="1"/>
  <c r="L10"/>
  <c r="L96"/>
  <c r="L11" s="1"/>
  <c r="D151" i="29"/>
  <c r="N72" i="42" l="1"/>
  <c r="G69"/>
  <c r="F68"/>
  <c r="F97" s="1"/>
  <c r="F12" s="1"/>
  <c r="D69"/>
  <c r="D72"/>
  <c r="H69"/>
  <c r="H67"/>
  <c r="H81" s="1"/>
  <c r="H5" s="1"/>
  <c r="W71"/>
  <c r="U70"/>
  <c r="L83"/>
  <c r="L6" s="1"/>
  <c r="L27" s="1"/>
  <c r="L21" s="1"/>
  <c r="L22" s="1"/>
  <c r="Q5"/>
  <c r="Q70"/>
  <c r="I71"/>
  <c r="I67"/>
  <c r="I81" s="1"/>
  <c r="I84" s="1"/>
  <c r="I7" s="1"/>
  <c r="I68"/>
  <c r="I96" s="1"/>
  <c r="I11" s="1"/>
  <c r="H68"/>
  <c r="H97" s="1"/>
  <c r="H12" s="1"/>
  <c r="J72"/>
  <c r="H70"/>
  <c r="H71"/>
  <c r="Q83"/>
  <c r="Q6" s="1"/>
  <c r="Q72"/>
  <c r="Z67"/>
  <c r="Z81" s="1"/>
  <c r="Z84" s="1"/>
  <c r="Z7" s="1"/>
  <c r="G68"/>
  <c r="G97" s="1"/>
  <c r="G12" s="1"/>
  <c r="Q71"/>
  <c r="R72"/>
  <c r="T71"/>
  <c r="Q69"/>
  <c r="P68"/>
  <c r="P10" s="1"/>
  <c r="K69"/>
  <c r="Y71"/>
  <c r="Z69"/>
  <c r="Z68"/>
  <c r="Z97" s="1"/>
  <c r="Z12" s="1"/>
  <c r="J67"/>
  <c r="J81" s="1"/>
  <c r="J84" s="1"/>
  <c r="J7" s="1"/>
  <c r="Q68"/>
  <c r="Q97" s="1"/>
  <c r="Q12" s="1"/>
  <c r="C69"/>
  <c r="S84"/>
  <c r="S7" s="1"/>
  <c r="U69"/>
  <c r="W96"/>
  <c r="W11" s="1"/>
  <c r="V72"/>
  <c r="U72"/>
  <c r="S72"/>
  <c r="X72"/>
  <c r="W70"/>
  <c r="O67"/>
  <c r="O81" s="1"/>
  <c r="D71"/>
  <c r="D68"/>
  <c r="N69"/>
  <c r="Z72"/>
  <c r="E67"/>
  <c r="E81" s="1"/>
  <c r="E83" s="1"/>
  <c r="E6" s="1"/>
  <c r="E68"/>
  <c r="E10" s="1"/>
  <c r="K71"/>
  <c r="X70"/>
  <c r="S69"/>
  <c r="M71"/>
  <c r="M68"/>
  <c r="O70"/>
  <c r="O71"/>
  <c r="O69"/>
  <c r="I70"/>
  <c r="I72"/>
  <c r="F83"/>
  <c r="F6" s="1"/>
  <c r="V71"/>
  <c r="F69"/>
  <c r="M69"/>
  <c r="M67"/>
  <c r="M81" s="1"/>
  <c r="F84"/>
  <c r="F7" s="1"/>
  <c r="V70"/>
  <c r="D67"/>
  <c r="D81" s="1"/>
  <c r="J69"/>
  <c r="F71"/>
  <c r="F72"/>
  <c r="N67"/>
  <c r="N81" s="1"/>
  <c r="N84" s="1"/>
  <c r="N7" s="1"/>
  <c r="O68"/>
  <c r="T5"/>
  <c r="C68"/>
  <c r="V67"/>
  <c r="V81" s="1"/>
  <c r="V83" s="1"/>
  <c r="V6" s="1"/>
  <c r="M70"/>
  <c r="P71"/>
  <c r="Y69"/>
  <c r="Z70"/>
  <c r="N70"/>
  <c r="S70"/>
  <c r="J70"/>
  <c r="J68"/>
  <c r="J97" s="1"/>
  <c r="J12" s="1"/>
  <c r="N68"/>
  <c r="N10" s="1"/>
  <c r="Y68"/>
  <c r="Y67"/>
  <c r="Y81" s="1"/>
  <c r="T83"/>
  <c r="T6" s="1"/>
  <c r="X10"/>
  <c r="C71"/>
  <c r="C70"/>
  <c r="S5"/>
  <c r="T72"/>
  <c r="T70"/>
  <c r="R68"/>
  <c r="R97" s="1"/>
  <c r="R12" s="1"/>
  <c r="R71"/>
  <c r="P70"/>
  <c r="X69"/>
  <c r="X67"/>
  <c r="X81" s="1"/>
  <c r="X83" s="1"/>
  <c r="X6" s="1"/>
  <c r="T69"/>
  <c r="X96"/>
  <c r="X11" s="1"/>
  <c r="C72"/>
  <c r="W10"/>
  <c r="R70"/>
  <c r="W67"/>
  <c r="W81" s="1"/>
  <c r="W84" s="1"/>
  <c r="W7" s="1"/>
  <c r="W72"/>
  <c r="E72"/>
  <c r="G67"/>
  <c r="G81" s="1"/>
  <c r="G84" s="1"/>
  <c r="G7" s="1"/>
  <c r="K70"/>
  <c r="K68"/>
  <c r="K96" s="1"/>
  <c r="K11" s="1"/>
  <c r="P67"/>
  <c r="P81" s="1"/>
  <c r="P84" s="1"/>
  <c r="P7" s="1"/>
  <c r="R67"/>
  <c r="R81" s="1"/>
  <c r="R83" s="1"/>
  <c r="R6" s="1"/>
  <c r="W69"/>
  <c r="V68"/>
  <c r="V97" s="1"/>
  <c r="V12" s="1"/>
  <c r="T68"/>
  <c r="T97" s="1"/>
  <c r="T12" s="1"/>
  <c r="U67"/>
  <c r="U81" s="1"/>
  <c r="U83" s="1"/>
  <c r="U6" s="1"/>
  <c r="E69"/>
  <c r="P69"/>
  <c r="E70"/>
  <c r="F70"/>
  <c r="G72"/>
  <c r="S68"/>
  <c r="S97" s="1"/>
  <c r="S12" s="1"/>
  <c r="G70"/>
  <c r="S71"/>
  <c r="K67"/>
  <c r="K81" s="1"/>
  <c r="K5" s="1"/>
  <c r="X71"/>
  <c r="U68"/>
  <c r="U97" s="1"/>
  <c r="U12" s="1"/>
  <c r="L5"/>
  <c r="J5"/>
  <c r="F10"/>
  <c r="C102" i="9"/>
  <c r="C33"/>
  <c r="L25" i="42" l="1"/>
  <c r="L26" s="1"/>
  <c r="L28"/>
  <c r="L29" s="1"/>
  <c r="F96"/>
  <c r="F11" s="1"/>
  <c r="F25" s="1"/>
  <c r="F26" s="1"/>
  <c r="Z5"/>
  <c r="I83"/>
  <c r="I6" s="1"/>
  <c r="I27" s="1"/>
  <c r="I21" s="1"/>
  <c r="I22" s="1"/>
  <c r="H84"/>
  <c r="H7" s="1"/>
  <c r="H83"/>
  <c r="H6" s="1"/>
  <c r="G96"/>
  <c r="G11" s="1"/>
  <c r="I10"/>
  <c r="X27"/>
  <c r="X21" s="1"/>
  <c r="X22" s="1"/>
  <c r="I97"/>
  <c r="I12" s="1"/>
  <c r="I25" s="1"/>
  <c r="I26" s="1"/>
  <c r="Z83"/>
  <c r="Z6" s="1"/>
  <c r="U10"/>
  <c r="N83"/>
  <c r="N6" s="1"/>
  <c r="I5"/>
  <c r="N5"/>
  <c r="E5"/>
  <c r="E84"/>
  <c r="E7" s="1"/>
  <c r="H96"/>
  <c r="H11" s="1"/>
  <c r="H27" s="1"/>
  <c r="H21" s="1"/>
  <c r="H22" s="1"/>
  <c r="H10"/>
  <c r="I28"/>
  <c r="I29" s="1"/>
  <c r="X5"/>
  <c r="P96"/>
  <c r="P11" s="1"/>
  <c r="U96"/>
  <c r="U11" s="1"/>
  <c r="R10"/>
  <c r="Q10"/>
  <c r="Q96"/>
  <c r="Q11" s="1"/>
  <c r="V84"/>
  <c r="V7" s="1"/>
  <c r="J83"/>
  <c r="J6" s="1"/>
  <c r="Z96"/>
  <c r="Z11" s="1"/>
  <c r="E96"/>
  <c r="E11" s="1"/>
  <c r="E28" s="1"/>
  <c r="E29" s="1"/>
  <c r="P97"/>
  <c r="P12" s="1"/>
  <c r="K10"/>
  <c r="K84"/>
  <c r="K7" s="1"/>
  <c r="R96"/>
  <c r="R11" s="1"/>
  <c r="R28" s="1"/>
  <c r="R29" s="1"/>
  <c r="G10"/>
  <c r="Z10"/>
  <c r="O84"/>
  <c r="O7" s="1"/>
  <c r="O5"/>
  <c r="O83"/>
  <c r="O6" s="1"/>
  <c r="R84"/>
  <c r="R7" s="1"/>
  <c r="J96"/>
  <c r="J11" s="1"/>
  <c r="E97"/>
  <c r="E12" s="1"/>
  <c r="W83"/>
  <c r="W6" s="1"/>
  <c r="W28" s="1"/>
  <c r="W29" s="1"/>
  <c r="K97"/>
  <c r="K12" s="1"/>
  <c r="J10"/>
  <c r="U27"/>
  <c r="U21" s="1"/>
  <c r="U22" s="1"/>
  <c r="X84"/>
  <c r="X7" s="1"/>
  <c r="X25" s="1"/>
  <c r="X26" s="1"/>
  <c r="K83"/>
  <c r="K6" s="1"/>
  <c r="X28"/>
  <c r="X29" s="1"/>
  <c r="O97"/>
  <c r="O12" s="1"/>
  <c r="O10"/>
  <c r="M97"/>
  <c r="M12" s="1"/>
  <c r="M10"/>
  <c r="M96"/>
  <c r="M11" s="1"/>
  <c r="N97"/>
  <c r="N12" s="1"/>
  <c r="N96"/>
  <c r="N11" s="1"/>
  <c r="M5"/>
  <c r="M84"/>
  <c r="M7" s="1"/>
  <c r="M83"/>
  <c r="M6" s="1"/>
  <c r="V5"/>
  <c r="T10"/>
  <c r="O96"/>
  <c r="O11" s="1"/>
  <c r="W5"/>
  <c r="P5"/>
  <c r="Y5"/>
  <c r="Y84"/>
  <c r="Y7" s="1"/>
  <c r="Y83"/>
  <c r="Y6" s="1"/>
  <c r="Y96"/>
  <c r="Y11" s="1"/>
  <c r="Y10"/>
  <c r="Y97"/>
  <c r="Y12" s="1"/>
  <c r="P83"/>
  <c r="P6" s="1"/>
  <c r="V10"/>
  <c r="G83"/>
  <c r="G6" s="1"/>
  <c r="G27" s="1"/>
  <c r="G21" s="1"/>
  <c r="G22" s="1"/>
  <c r="G5"/>
  <c r="S10"/>
  <c r="S96"/>
  <c r="S11" s="1"/>
  <c r="S28" s="1"/>
  <c r="S29" s="1"/>
  <c r="V96"/>
  <c r="V11" s="1"/>
  <c r="V28" s="1"/>
  <c r="V29" s="1"/>
  <c r="R5"/>
  <c r="T96"/>
  <c r="T11" s="1"/>
  <c r="T25" s="1"/>
  <c r="T26" s="1"/>
  <c r="U84"/>
  <c r="U7" s="1"/>
  <c r="U5"/>
  <c r="U28"/>
  <c r="U29" s="1"/>
  <c r="BK306" i="29"/>
  <c r="AF305"/>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N28" i="42" l="1"/>
  <c r="N29" s="1"/>
  <c r="F27"/>
  <c r="F21" s="1"/>
  <c r="F22" s="1"/>
  <c r="F28"/>
  <c r="F29" s="1"/>
  <c r="W25"/>
  <c r="W26" s="1"/>
  <c r="U25"/>
  <c r="U26" s="1"/>
  <c r="R27"/>
  <c r="R21" s="1"/>
  <c r="R22" s="1"/>
  <c r="H28"/>
  <c r="H29" s="1"/>
  <c r="Z27"/>
  <c r="Z21" s="1"/>
  <c r="Z22" s="1"/>
  <c r="J28"/>
  <c r="J29" s="1"/>
  <c r="Z28"/>
  <c r="Z29" s="1"/>
  <c r="P25"/>
  <c r="P26" s="1"/>
  <c r="H25"/>
  <c r="H26" s="1"/>
  <c r="V25"/>
  <c r="V26" s="1"/>
  <c r="N27"/>
  <c r="N21" s="1"/>
  <c r="N22" s="1"/>
  <c r="Z25"/>
  <c r="Z26" s="1"/>
  <c r="Q27"/>
  <c r="Q21" s="1"/>
  <c r="Q22" s="1"/>
  <c r="Q28"/>
  <c r="Q29" s="1"/>
  <c r="J25"/>
  <c r="J26" s="1"/>
  <c r="J27"/>
  <c r="J21" s="1"/>
  <c r="J22" s="1"/>
  <c r="E27"/>
  <c r="E21" s="1"/>
  <c r="E22" s="1"/>
  <c r="E25"/>
  <c r="E26" s="1"/>
  <c r="P28"/>
  <c r="P29" s="1"/>
  <c r="N25"/>
  <c r="N26" s="1"/>
  <c r="Q25"/>
  <c r="Q26" s="1"/>
  <c r="K25"/>
  <c r="K26" s="1"/>
  <c r="R25"/>
  <c r="R26" s="1"/>
  <c r="K28"/>
  <c r="K29" s="1"/>
  <c r="K27"/>
  <c r="K21" s="1"/>
  <c r="K22" s="1"/>
  <c r="T28"/>
  <c r="T29" s="1"/>
  <c r="T27"/>
  <c r="T21" s="1"/>
  <c r="T22" s="1"/>
  <c r="W27"/>
  <c r="W21" s="1"/>
  <c r="W22" s="1"/>
  <c r="M27"/>
  <c r="M21" s="1"/>
  <c r="M22" s="1"/>
  <c r="M25"/>
  <c r="M26" s="1"/>
  <c r="M28"/>
  <c r="M29" s="1"/>
  <c r="O25"/>
  <c r="O26" s="1"/>
  <c r="O27"/>
  <c r="O21" s="1"/>
  <c r="O22" s="1"/>
  <c r="O28"/>
  <c r="O29" s="1"/>
  <c r="G25"/>
  <c r="G26" s="1"/>
  <c r="Y25"/>
  <c r="Y26" s="1"/>
  <c r="Y28"/>
  <c r="Y29" s="1"/>
  <c r="Y27"/>
  <c r="Y21" s="1"/>
  <c r="Y22" s="1"/>
  <c r="S25"/>
  <c r="S26" s="1"/>
  <c r="S27"/>
  <c r="S21" s="1"/>
  <c r="S22" s="1"/>
  <c r="P27"/>
  <c r="P21" s="1"/>
  <c r="P22" s="1"/>
  <c r="G28"/>
  <c r="G29" s="1"/>
  <c r="V27"/>
  <c r="V21" s="1"/>
  <c r="V22" s="1"/>
  <c r="D211" i="29"/>
  <c r="D114" i="34"/>
  <c r="G113"/>
  <c r="F113"/>
  <c r="D112"/>
  <c r="G114" l="1"/>
  <c r="G111"/>
  <c r="G112" s="1"/>
  <c r="F111"/>
  <c r="F112" s="1"/>
  <c r="F114"/>
  <c r="C75" i="43" l="1"/>
  <c r="D72"/>
  <c r="E72" s="1"/>
  <c r="F72" s="1"/>
  <c r="G72" s="1"/>
  <c r="H72" s="1"/>
  <c r="I72" s="1"/>
  <c r="J72" s="1"/>
  <c r="K72" s="1"/>
  <c r="L72" s="1"/>
  <c r="M72" s="1"/>
  <c r="N72" s="1"/>
  <c r="O72" s="1"/>
  <c r="P72" s="1"/>
  <c r="Q72" s="1"/>
  <c r="R72" s="1"/>
  <c r="S72" s="1"/>
  <c r="T72" s="1"/>
  <c r="U72" s="1"/>
  <c r="U75" s="1"/>
  <c r="F15" i="44"/>
  <c r="G15" i="46"/>
  <c r="F15"/>
  <c r="AC201" i="47"/>
  <c r="AB201"/>
  <c r="AA201"/>
  <c r="Z201"/>
  <c r="Y201"/>
  <c r="X201"/>
  <c r="W201"/>
  <c r="V201"/>
  <c r="U201"/>
  <c r="T201"/>
  <c r="S201"/>
  <c r="R201"/>
  <c r="Q201"/>
  <c r="P201"/>
  <c r="O201"/>
  <c r="N201"/>
  <c r="M201"/>
  <c r="L201"/>
  <c r="K201"/>
  <c r="J201"/>
  <c r="I201"/>
  <c r="H201"/>
  <c r="AC201" i="46"/>
  <c r="AB201"/>
  <c r="AA201"/>
  <c r="Z201"/>
  <c r="Y201"/>
  <c r="X201"/>
  <c r="W201"/>
  <c r="V201"/>
  <c r="U201"/>
  <c r="T201"/>
  <c r="S201"/>
  <c r="R201"/>
  <c r="Q201"/>
  <c r="P201"/>
  <c r="O201"/>
  <c r="N201"/>
  <c r="M201"/>
  <c r="L201"/>
  <c r="K201"/>
  <c r="AC205" i="45"/>
  <c r="AB205"/>
  <c r="AA205"/>
  <c r="Z205"/>
  <c r="Y205"/>
  <c r="X205"/>
  <c r="W205"/>
  <c r="V205"/>
  <c r="U205"/>
  <c r="T205"/>
  <c r="S205"/>
  <c r="R205"/>
  <c r="Q205"/>
  <c r="P205"/>
  <c r="O205"/>
  <c r="N205"/>
  <c r="M205"/>
  <c r="L205"/>
  <c r="K205"/>
  <c r="F21" i="44"/>
  <c r="G21" i="45"/>
  <c r="F21"/>
  <c r="G21" i="46"/>
  <c r="F21"/>
  <c r="F21" i="47"/>
  <c r="G30" i="45"/>
  <c r="G30" i="47"/>
  <c r="AC28"/>
  <c r="AB28"/>
  <c r="AA28"/>
  <c r="Z28"/>
  <c r="Y28"/>
  <c r="X28"/>
  <c r="W28"/>
  <c r="V28"/>
  <c r="U28"/>
  <c r="T28"/>
  <c r="S28"/>
  <c r="R28"/>
  <c r="Q28"/>
  <c r="P28"/>
  <c r="O28"/>
  <c r="N28"/>
  <c r="M28"/>
  <c r="L28"/>
  <c r="K28"/>
  <c r="J28"/>
  <c r="I28"/>
  <c r="H28"/>
  <c r="F30"/>
  <c r="F28"/>
  <c r="G30" i="46"/>
  <c r="AC28"/>
  <c r="AB28"/>
  <c r="AA28"/>
  <c r="Z28"/>
  <c r="Y28"/>
  <c r="X28"/>
  <c r="W28"/>
  <c r="V28"/>
  <c r="U28"/>
  <c r="T28"/>
  <c r="S28"/>
  <c r="R28"/>
  <c r="Q28"/>
  <c r="P28"/>
  <c r="O28"/>
  <c r="N28"/>
  <c r="M28"/>
  <c r="L28"/>
  <c r="K28"/>
  <c r="J28"/>
  <c r="I28"/>
  <c r="H28"/>
  <c r="F30"/>
  <c r="F28"/>
  <c r="AC28" i="45"/>
  <c r="AB28"/>
  <c r="AA28"/>
  <c r="Z28"/>
  <c r="Y28"/>
  <c r="X28"/>
  <c r="W28"/>
  <c r="V28"/>
  <c r="U28"/>
  <c r="T28"/>
  <c r="S28"/>
  <c r="R28"/>
  <c r="Q28"/>
  <c r="P28"/>
  <c r="O28"/>
  <c r="N28"/>
  <c r="M28"/>
  <c r="L28"/>
  <c r="K28"/>
  <c r="J28"/>
  <c r="I28"/>
  <c r="H28"/>
  <c r="F30"/>
  <c r="F28"/>
  <c r="J75" i="43" l="1"/>
  <c r="V72"/>
  <c r="V75" s="1"/>
  <c r="I75"/>
  <c r="S75"/>
  <c r="E75"/>
  <c r="R75"/>
  <c r="M75"/>
  <c r="G75"/>
  <c r="N75"/>
  <c r="F75"/>
  <c r="K75"/>
  <c r="Q75"/>
  <c r="O75"/>
  <c r="D75"/>
  <c r="H75"/>
  <c r="L75"/>
  <c r="P75"/>
  <c r="T75"/>
  <c r="W72"/>
  <c r="AC200" i="47"/>
  <c r="AB200"/>
  <c r="AA200"/>
  <c r="Z200"/>
  <c r="Y200"/>
  <c r="X200"/>
  <c r="W200"/>
  <c r="V200"/>
  <c r="U200"/>
  <c r="T200"/>
  <c r="S200"/>
  <c r="R200"/>
  <c r="Q200"/>
  <c r="P200"/>
  <c r="O200"/>
  <c r="N200"/>
  <c r="M200"/>
  <c r="L200"/>
  <c r="K200"/>
  <c r="J200"/>
  <c r="I200"/>
  <c r="H200"/>
  <c r="G200"/>
  <c r="F200"/>
  <c r="D200" s="1"/>
  <c r="AC199"/>
  <c r="AB199"/>
  <c r="AA199"/>
  <c r="Z199"/>
  <c r="Y199"/>
  <c r="X199"/>
  <c r="W199"/>
  <c r="V199"/>
  <c r="U199"/>
  <c r="T199"/>
  <c r="S199"/>
  <c r="R199"/>
  <c r="Q199"/>
  <c r="P199"/>
  <c r="O199"/>
  <c r="N199"/>
  <c r="M199"/>
  <c r="L199"/>
  <c r="K199"/>
  <c r="J199"/>
  <c r="I199"/>
  <c r="H199"/>
  <c r="G199"/>
  <c r="F199"/>
  <c r="D199" s="1"/>
  <c r="AC200" i="46"/>
  <c r="AB200"/>
  <c r="AA200"/>
  <c r="Z200"/>
  <c r="Y200"/>
  <c r="X200"/>
  <c r="W200"/>
  <c r="V200"/>
  <c r="U200"/>
  <c r="T200"/>
  <c r="S200"/>
  <c r="R200"/>
  <c r="Q200"/>
  <c r="P200"/>
  <c r="O200"/>
  <c r="N200"/>
  <c r="M200"/>
  <c r="L200"/>
  <c r="K200"/>
  <c r="J200"/>
  <c r="I200"/>
  <c r="H200"/>
  <c r="G200"/>
  <c r="F200"/>
  <c r="AC199"/>
  <c r="AB199"/>
  <c r="AA199"/>
  <c r="Z199"/>
  <c r="Y199"/>
  <c r="X199"/>
  <c r="W199"/>
  <c r="V199"/>
  <c r="U199"/>
  <c r="T199"/>
  <c r="S199"/>
  <c r="R199"/>
  <c r="Q199"/>
  <c r="P199"/>
  <c r="O199"/>
  <c r="N199"/>
  <c r="M199"/>
  <c r="L199"/>
  <c r="K199"/>
  <c r="J199"/>
  <c r="I199"/>
  <c r="H199"/>
  <c r="G199"/>
  <c r="D199" s="1"/>
  <c r="F199"/>
  <c r="AC204" i="45"/>
  <c r="AB204"/>
  <c r="AA204"/>
  <c r="Z204"/>
  <c r="Y204"/>
  <c r="X204"/>
  <c r="W204"/>
  <c r="V204"/>
  <c r="U204"/>
  <c r="T204"/>
  <c r="S204"/>
  <c r="R204"/>
  <c r="Q204"/>
  <c r="P204"/>
  <c r="O204"/>
  <c r="N204"/>
  <c r="M204"/>
  <c r="L204"/>
  <c r="K204"/>
  <c r="J204"/>
  <c r="I204"/>
  <c r="H204"/>
  <c r="G204"/>
  <c r="F204"/>
  <c r="AC203"/>
  <c r="AB203"/>
  <c r="AA203"/>
  <c r="Z203"/>
  <c r="Y203"/>
  <c r="X203"/>
  <c r="W203"/>
  <c r="V203"/>
  <c r="U203"/>
  <c r="T203"/>
  <c r="S203"/>
  <c r="R203"/>
  <c r="Q203"/>
  <c r="P203"/>
  <c r="O203"/>
  <c r="N203"/>
  <c r="M203"/>
  <c r="L203"/>
  <c r="K203"/>
  <c r="J203"/>
  <c r="I203"/>
  <c r="H203"/>
  <c r="G203"/>
  <c r="F203"/>
  <c r="AC198" i="44"/>
  <c r="AB198"/>
  <c r="AA198"/>
  <c r="Z198"/>
  <c r="Y198"/>
  <c r="X198"/>
  <c r="W198"/>
  <c r="V198"/>
  <c r="U198"/>
  <c r="T198"/>
  <c r="S198"/>
  <c r="R198"/>
  <c r="Q198"/>
  <c r="P198"/>
  <c r="O198"/>
  <c r="N198"/>
  <c r="M198"/>
  <c r="L198"/>
  <c r="K198"/>
  <c r="AC197"/>
  <c r="AB197"/>
  <c r="AA197"/>
  <c r="Z197"/>
  <c r="Y197"/>
  <c r="X197"/>
  <c r="W197"/>
  <c r="V197"/>
  <c r="U197"/>
  <c r="T197"/>
  <c r="S197"/>
  <c r="R197"/>
  <c r="Q197"/>
  <c r="P197"/>
  <c r="O197"/>
  <c r="N197"/>
  <c r="M197"/>
  <c r="L197"/>
  <c r="K197"/>
  <c r="J197"/>
  <c r="I197"/>
  <c r="H197"/>
  <c r="G197"/>
  <c r="AC196"/>
  <c r="AB196"/>
  <c r="AA196"/>
  <c r="Z196"/>
  <c r="Y196"/>
  <c r="X196"/>
  <c r="W196"/>
  <c r="V196"/>
  <c r="U196"/>
  <c r="T196"/>
  <c r="S196"/>
  <c r="R196"/>
  <c r="Q196"/>
  <c r="P196"/>
  <c r="O196"/>
  <c r="N196"/>
  <c r="M196"/>
  <c r="L196"/>
  <c r="K196"/>
  <c r="J196"/>
  <c r="I196"/>
  <c r="H196"/>
  <c r="G196"/>
  <c r="F197"/>
  <c r="F196"/>
  <c r="AC265" i="35"/>
  <c r="AB265"/>
  <c r="AA265"/>
  <c r="Z265"/>
  <c r="Y265"/>
  <c r="X265"/>
  <c r="W265"/>
  <c r="V265"/>
  <c r="U265"/>
  <c r="T265"/>
  <c r="S265"/>
  <c r="R265"/>
  <c r="Q265"/>
  <c r="P265"/>
  <c r="O265"/>
  <c r="N265"/>
  <c r="M265"/>
  <c r="L265"/>
  <c r="K265"/>
  <c r="J265"/>
  <c r="AC264"/>
  <c r="AB264"/>
  <c r="AA264"/>
  <c r="Z264"/>
  <c r="Y264"/>
  <c r="X264"/>
  <c r="W264"/>
  <c r="V264"/>
  <c r="U264"/>
  <c r="T264"/>
  <c r="S264"/>
  <c r="R264"/>
  <c r="Q264"/>
  <c r="P264"/>
  <c r="O264"/>
  <c r="N264"/>
  <c r="M264"/>
  <c r="L264"/>
  <c r="K264"/>
  <c r="J264"/>
  <c r="I264"/>
  <c r="H264"/>
  <c r="G264"/>
  <c r="AC263"/>
  <c r="AB263"/>
  <c r="AA263"/>
  <c r="Z263"/>
  <c r="Y263"/>
  <c r="X263"/>
  <c r="W263"/>
  <c r="V263"/>
  <c r="U263"/>
  <c r="T263"/>
  <c r="S263"/>
  <c r="R263"/>
  <c r="Q263"/>
  <c r="P263"/>
  <c r="O263"/>
  <c r="N263"/>
  <c r="M263"/>
  <c r="L263"/>
  <c r="K263"/>
  <c r="J263"/>
  <c r="I263"/>
  <c r="H263"/>
  <c r="G263"/>
  <c r="F264"/>
  <c r="F263"/>
  <c r="D122" i="34"/>
  <c r="D108"/>
  <c r="D106"/>
  <c r="AC143"/>
  <c r="AB143"/>
  <c r="AA143"/>
  <c r="Z143"/>
  <c r="Y143"/>
  <c r="X143"/>
  <c r="W143"/>
  <c r="V143"/>
  <c r="U143"/>
  <c r="T143"/>
  <c r="S143"/>
  <c r="R143"/>
  <c r="Q143"/>
  <c r="P143"/>
  <c r="O143"/>
  <c r="N143"/>
  <c r="M143"/>
  <c r="L143"/>
  <c r="K143"/>
  <c r="J143"/>
  <c r="I143"/>
  <c r="H143"/>
  <c r="G143"/>
  <c r="AC142"/>
  <c r="AB142"/>
  <c r="AA142"/>
  <c r="Z142"/>
  <c r="Y142"/>
  <c r="X142"/>
  <c r="W142"/>
  <c r="V142"/>
  <c r="U142"/>
  <c r="T142"/>
  <c r="S142"/>
  <c r="R142"/>
  <c r="Q142"/>
  <c r="P142"/>
  <c r="O142"/>
  <c r="N142"/>
  <c r="M142"/>
  <c r="L142"/>
  <c r="K142"/>
  <c r="J142"/>
  <c r="I142"/>
  <c r="H142"/>
  <c r="G142"/>
  <c r="AC141"/>
  <c r="AB141"/>
  <c r="AA141"/>
  <c r="Z141"/>
  <c r="Y141"/>
  <c r="X141"/>
  <c r="W141"/>
  <c r="V141"/>
  <c r="U141"/>
  <c r="T141"/>
  <c r="S141"/>
  <c r="R141"/>
  <c r="Q141"/>
  <c r="P141"/>
  <c r="O141"/>
  <c r="N141"/>
  <c r="M141"/>
  <c r="L141"/>
  <c r="K141"/>
  <c r="J141"/>
  <c r="I141"/>
  <c r="H141"/>
  <c r="G141"/>
  <c r="F143"/>
  <c r="F142"/>
  <c r="F141"/>
  <c r="D141" l="1"/>
  <c r="D143"/>
  <c r="D142"/>
  <c r="D197" i="44"/>
  <c r="D196"/>
  <c r="D263" i="35"/>
  <c r="D264"/>
  <c r="D203" i="45"/>
  <c r="D204"/>
  <c r="D11" i="43"/>
  <c r="D77"/>
  <c r="D12" s="1"/>
  <c r="D78"/>
  <c r="D13" s="1"/>
  <c r="X72"/>
  <c r="W75"/>
  <c r="D200" i="46"/>
  <c r="AC323" i="29"/>
  <c r="AB323"/>
  <c r="AA323"/>
  <c r="Z323"/>
  <c r="Y323"/>
  <c r="X323"/>
  <c r="W323"/>
  <c r="V323"/>
  <c r="U323"/>
  <c r="T323"/>
  <c r="S323"/>
  <c r="R323"/>
  <c r="Q323"/>
  <c r="P323"/>
  <c r="O323"/>
  <c r="N323"/>
  <c r="M323"/>
  <c r="L323"/>
  <c r="K323"/>
  <c r="AC322"/>
  <c r="AB322"/>
  <c r="AA322"/>
  <c r="Z322"/>
  <c r="Y322"/>
  <c r="X322"/>
  <c r="W322"/>
  <c r="V322"/>
  <c r="U322"/>
  <c r="T322"/>
  <c r="S322"/>
  <c r="R322"/>
  <c r="Q322"/>
  <c r="P322"/>
  <c r="O322"/>
  <c r="N322"/>
  <c r="M322"/>
  <c r="L322"/>
  <c r="K322"/>
  <c r="J322"/>
  <c r="I322"/>
  <c r="H322"/>
  <c r="G322"/>
  <c r="AC321"/>
  <c r="AB321"/>
  <c r="AA321"/>
  <c r="Z321"/>
  <c r="Y321"/>
  <c r="X321"/>
  <c r="W321"/>
  <c r="V321"/>
  <c r="U321"/>
  <c r="T321"/>
  <c r="S321"/>
  <c r="R321"/>
  <c r="Q321"/>
  <c r="P321"/>
  <c r="O321"/>
  <c r="N321"/>
  <c r="M321"/>
  <c r="L321"/>
  <c r="K321"/>
  <c r="J321"/>
  <c r="I321"/>
  <c r="H321"/>
  <c r="G321"/>
  <c r="F322"/>
  <c r="D322" s="1"/>
  <c r="F321"/>
  <c r="D321" s="1"/>
  <c r="Y72" i="43" l="1"/>
  <c r="X75"/>
  <c r="G15" i="45"/>
  <c r="F15"/>
  <c r="Z72" i="43" l="1"/>
  <c r="Z75" s="1"/>
  <c r="Y75"/>
  <c r="F10" i="47" l="1"/>
  <c r="G10" i="46"/>
  <c r="F10"/>
  <c r="G10" i="45"/>
  <c r="F10"/>
  <c r="F10" i="44"/>
  <c r="F191" i="47"/>
  <c r="F189"/>
  <c r="D183"/>
  <c r="D156"/>
  <c r="D162" s="1"/>
  <c r="D154"/>
  <c r="D160" s="1"/>
  <c r="D145"/>
  <c r="D81"/>
  <c r="D80"/>
  <c r="D79"/>
  <c r="D78"/>
  <c r="D70"/>
  <c r="D61"/>
  <c r="D88" s="1"/>
  <c r="D60"/>
  <c r="D87" s="1"/>
  <c r="F116"/>
  <c r="F190" i="46"/>
  <c r="F188"/>
  <c r="D181"/>
  <c r="D154"/>
  <c r="D160" s="1"/>
  <c r="D152"/>
  <c r="D143"/>
  <c r="D79"/>
  <c r="D78"/>
  <c r="D77"/>
  <c r="D70"/>
  <c r="D61"/>
  <c r="D60"/>
  <c r="D86" s="1"/>
  <c r="D54"/>
  <c r="G191" i="45"/>
  <c r="F191"/>
  <c r="F189"/>
  <c r="D182"/>
  <c r="D155"/>
  <c r="D161" s="1"/>
  <c r="D153"/>
  <c r="D144"/>
  <c r="AD102"/>
  <c r="AD101"/>
  <c r="D81"/>
  <c r="D80"/>
  <c r="D79"/>
  <c r="D78"/>
  <c r="D70"/>
  <c r="D61"/>
  <c r="D88" s="1"/>
  <c r="D60"/>
  <c r="D87" s="1"/>
  <c r="D54"/>
  <c r="G115"/>
  <c r="F115"/>
  <c r="F185" i="44"/>
  <c r="F183"/>
  <c r="D176"/>
  <c r="D149"/>
  <c r="D155" s="1"/>
  <c r="D147"/>
  <c r="D138"/>
  <c r="D75"/>
  <c r="D74"/>
  <c r="D73"/>
  <c r="D64"/>
  <c r="D55"/>
  <c r="D82" s="1"/>
  <c r="D54"/>
  <c r="D81" s="1"/>
  <c r="D48"/>
  <c r="J96" i="43"/>
  <c r="I96"/>
  <c r="H96"/>
  <c r="G96"/>
  <c r="J94"/>
  <c r="I94"/>
  <c r="H94"/>
  <c r="G94"/>
  <c r="R49"/>
  <c r="A53" s="1"/>
  <c r="Q49"/>
  <c r="P49"/>
  <c r="O49"/>
  <c r="N49"/>
  <c r="M49"/>
  <c r="L49"/>
  <c r="K49"/>
  <c r="J49"/>
  <c r="I49"/>
  <c r="A55" s="1"/>
  <c r="H49"/>
  <c r="G49"/>
  <c r="A54" s="1"/>
  <c r="F49"/>
  <c r="A56" s="1"/>
  <c r="E49"/>
  <c r="D49"/>
  <c r="I39"/>
  <c r="I40" s="1"/>
  <c r="H39"/>
  <c r="H40" s="1"/>
  <c r="E39"/>
  <c r="E40" s="1"/>
  <c r="D39"/>
  <c r="D40" s="1"/>
  <c r="G17" i="47"/>
  <c r="G103" s="1"/>
  <c r="C13" i="43"/>
  <c r="F17" i="47" s="1"/>
  <c r="F103" s="1"/>
  <c r="G16"/>
  <c r="C12" i="43"/>
  <c r="F16" i="47" s="1"/>
  <c r="C7" i="43"/>
  <c r="F12" i="47" s="1"/>
  <c r="F97" s="1"/>
  <c r="C6" i="43"/>
  <c r="G17" i="46"/>
  <c r="G102" s="1"/>
  <c r="F17"/>
  <c r="G16"/>
  <c r="G73" s="1"/>
  <c r="F16"/>
  <c r="F73" s="1"/>
  <c r="G12"/>
  <c r="G96" s="1"/>
  <c r="F12"/>
  <c r="D49" i="41"/>
  <c r="J94"/>
  <c r="I94"/>
  <c r="H94"/>
  <c r="G94"/>
  <c r="J92"/>
  <c r="I92"/>
  <c r="H92"/>
  <c r="G92"/>
  <c r="R49"/>
  <c r="A53" s="1"/>
  <c r="Q49"/>
  <c r="P49"/>
  <c r="A58" s="1"/>
  <c r="O49"/>
  <c r="N49"/>
  <c r="M49"/>
  <c r="L49"/>
  <c r="K49"/>
  <c r="J49"/>
  <c r="I49"/>
  <c r="A55" s="1"/>
  <c r="H49"/>
  <c r="G49"/>
  <c r="A54" s="1"/>
  <c r="F49"/>
  <c r="A56" s="1"/>
  <c r="E49"/>
  <c r="I39"/>
  <c r="I40" s="1"/>
  <c r="H39"/>
  <c r="H40" s="1"/>
  <c r="E39"/>
  <c r="E40" s="1"/>
  <c r="D39"/>
  <c r="D40" s="1"/>
  <c r="G17" i="45"/>
  <c r="G103" s="1"/>
  <c r="C13" i="41"/>
  <c r="F17" i="45" s="1"/>
  <c r="F103" s="1"/>
  <c r="G16"/>
  <c r="C12" i="41"/>
  <c r="F16" i="45" s="1"/>
  <c r="F74" s="1"/>
  <c r="G12"/>
  <c r="G97" s="1"/>
  <c r="C7" i="41"/>
  <c r="F12" i="45" s="1"/>
  <c r="F97" s="1"/>
  <c r="D27" i="41"/>
  <c r="C6"/>
  <c r="C27" s="1"/>
  <c r="C35" i="32"/>
  <c r="C13" i="40"/>
  <c r="F17" i="44" s="1"/>
  <c r="F97" s="1"/>
  <c r="C12" i="40"/>
  <c r="F16" i="44" s="1"/>
  <c r="C7" i="40"/>
  <c r="F12" i="44" s="1"/>
  <c r="F91" s="1"/>
  <c r="C6" i="40"/>
  <c r="I33"/>
  <c r="I34" s="1"/>
  <c r="H33"/>
  <c r="H34" s="1"/>
  <c r="E33"/>
  <c r="E34" s="1"/>
  <c r="D33"/>
  <c r="D34" s="1"/>
  <c r="R43"/>
  <c r="A47" s="1"/>
  <c r="Q43"/>
  <c r="P43"/>
  <c r="O43"/>
  <c r="N43"/>
  <c r="M43"/>
  <c r="L43"/>
  <c r="K43"/>
  <c r="J43"/>
  <c r="I43"/>
  <c r="A49" s="1"/>
  <c r="H43"/>
  <c r="G43"/>
  <c r="A48" s="1"/>
  <c r="F43"/>
  <c r="A50" s="1"/>
  <c r="E43"/>
  <c r="G39" i="35"/>
  <c r="AB37"/>
  <c r="AA37"/>
  <c r="Z37"/>
  <c r="Y37"/>
  <c r="X37"/>
  <c r="W37"/>
  <c r="V37"/>
  <c r="U37"/>
  <c r="T37"/>
  <c r="S37"/>
  <c r="R37"/>
  <c r="Q37"/>
  <c r="P37"/>
  <c r="O37"/>
  <c r="N37"/>
  <c r="M37"/>
  <c r="L37"/>
  <c r="K37"/>
  <c r="J37"/>
  <c r="I37"/>
  <c r="H37"/>
  <c r="F39"/>
  <c r="C46" i="9"/>
  <c r="C45"/>
  <c r="B46"/>
  <c r="Z44" i="43" l="1"/>
  <c r="V44"/>
  <c r="Q44"/>
  <c r="M44"/>
  <c r="W44"/>
  <c r="R44"/>
  <c r="N44"/>
  <c r="X44"/>
  <c r="S44"/>
  <c r="O44"/>
  <c r="K44"/>
  <c r="Y44"/>
  <c r="U44"/>
  <c r="P44"/>
  <c r="L44"/>
  <c r="C44"/>
  <c r="F96" i="46"/>
  <c r="B116" i="24"/>
  <c r="F38" i="40"/>
  <c r="G38"/>
  <c r="C38"/>
  <c r="H38"/>
  <c r="D38"/>
  <c r="I38"/>
  <c r="E38"/>
  <c r="X38"/>
  <c r="S38"/>
  <c r="O38"/>
  <c r="K38"/>
  <c r="Y38"/>
  <c r="U38"/>
  <c r="P38"/>
  <c r="L38"/>
  <c r="Z38"/>
  <c r="V38"/>
  <c r="Q38"/>
  <c r="M38"/>
  <c r="W38"/>
  <c r="R38"/>
  <c r="N38"/>
  <c r="F44" i="41"/>
  <c r="G44"/>
  <c r="C44"/>
  <c r="H44"/>
  <c r="D44"/>
  <c r="I44"/>
  <c r="E44"/>
  <c r="Z44"/>
  <c r="V44"/>
  <c r="R44"/>
  <c r="N44"/>
  <c r="W44"/>
  <c r="S44"/>
  <c r="O44"/>
  <c r="K44"/>
  <c r="X44"/>
  <c r="P44"/>
  <c r="L44"/>
  <c r="Y44"/>
  <c r="U44"/>
  <c r="Q44"/>
  <c r="M44"/>
  <c r="A57"/>
  <c r="F44" i="43"/>
  <c r="G44"/>
  <c r="H44"/>
  <c r="D44"/>
  <c r="I44"/>
  <c r="E44"/>
  <c r="C27"/>
  <c r="F23" i="47" s="1"/>
  <c r="F135" s="1"/>
  <c r="G11" i="45"/>
  <c r="G47" s="1"/>
  <c r="F11"/>
  <c r="F47" s="1"/>
  <c r="F11" i="47"/>
  <c r="F47" s="1"/>
  <c r="F11" i="46"/>
  <c r="G11"/>
  <c r="G47" s="1"/>
  <c r="G71" i="45"/>
  <c r="F71"/>
  <c r="G45" i="46"/>
  <c r="D112" i="44"/>
  <c r="D119" i="47"/>
  <c r="D180" i="35"/>
  <c r="D117" i="46"/>
  <c r="I201" s="1"/>
  <c r="D118" i="45"/>
  <c r="J119" s="1"/>
  <c r="J205" s="1"/>
  <c r="G191" i="47"/>
  <c r="F242"/>
  <c r="F241"/>
  <c r="G190" i="46"/>
  <c r="F241"/>
  <c r="F242"/>
  <c r="H191" i="45"/>
  <c r="G245"/>
  <c r="G246"/>
  <c r="F245"/>
  <c r="F246"/>
  <c r="C21" i="40"/>
  <c r="F23" i="44" s="1"/>
  <c r="A51" i="40"/>
  <c r="A53" s="1"/>
  <c r="A52"/>
  <c r="C18"/>
  <c r="F20" i="44" s="1"/>
  <c r="C20" i="40"/>
  <c r="F22" i="44" s="1"/>
  <c r="F11"/>
  <c r="G24" i="46"/>
  <c r="G23"/>
  <c r="G133" s="1"/>
  <c r="G139" s="1"/>
  <c r="D28" i="41"/>
  <c r="G24" i="45" s="1"/>
  <c r="G123" s="1"/>
  <c r="G124" s="1"/>
  <c r="G23"/>
  <c r="G134" s="1"/>
  <c r="F24" i="46"/>
  <c r="F23"/>
  <c r="F133" s="1"/>
  <c r="F139" s="1"/>
  <c r="C28" i="41"/>
  <c r="F24" i="45" s="1"/>
  <c r="F123" s="1"/>
  <c r="F124" s="1"/>
  <c r="F23"/>
  <c r="G185" i="44"/>
  <c r="F238"/>
  <c r="F239"/>
  <c r="G183"/>
  <c r="F218"/>
  <c r="F217"/>
  <c r="G189" i="45"/>
  <c r="F224"/>
  <c r="F225"/>
  <c r="G188" i="46"/>
  <c r="H188" s="1"/>
  <c r="F221"/>
  <c r="F220"/>
  <c r="D165"/>
  <c r="D171" s="1"/>
  <c r="D158"/>
  <c r="D166" i="45"/>
  <c r="D172" s="1"/>
  <c r="D159"/>
  <c r="D160" i="44"/>
  <c r="D166" s="1"/>
  <c r="D153"/>
  <c r="G189" i="47"/>
  <c r="F221"/>
  <c r="F220"/>
  <c r="F65" i="44"/>
  <c r="G71" i="46"/>
  <c r="F71"/>
  <c r="D167" i="47"/>
  <c r="D173" s="1"/>
  <c r="D172" i="44"/>
  <c r="D162"/>
  <c r="D168" s="1"/>
  <c r="D168" i="45"/>
  <c r="D174" s="1"/>
  <c r="D169" i="47"/>
  <c r="D167" i="46"/>
  <c r="D173" s="1"/>
  <c r="G116" i="47"/>
  <c r="D63"/>
  <c r="D100" s="1"/>
  <c r="D63" i="46"/>
  <c r="D90" i="47"/>
  <c r="F74"/>
  <c r="G74"/>
  <c r="F120"/>
  <c r="F201" s="1"/>
  <c r="H201" i="46"/>
  <c r="F102"/>
  <c r="D87"/>
  <c r="D90" i="45"/>
  <c r="G112"/>
  <c r="D63"/>
  <c r="F112"/>
  <c r="G74"/>
  <c r="I191"/>
  <c r="I119"/>
  <c r="I205" s="1"/>
  <c r="I247" s="1"/>
  <c r="D57" i="44"/>
  <c r="F68"/>
  <c r="F41"/>
  <c r="D84"/>
  <c r="G198"/>
  <c r="G240" s="1"/>
  <c r="F198"/>
  <c r="J198"/>
  <c r="A57" i="43"/>
  <c r="A58"/>
  <c r="C24"/>
  <c r="F20" i="47" s="1"/>
  <c r="C26" i="43"/>
  <c r="G20" i="46"/>
  <c r="F20"/>
  <c r="C63" i="41"/>
  <c r="A59"/>
  <c r="K59" s="1"/>
  <c r="D24"/>
  <c r="G20" i="45" s="1"/>
  <c r="D26" i="41"/>
  <c r="C24"/>
  <c r="F20" i="45" s="1"/>
  <c r="C26" i="41"/>
  <c r="G17" i="35"/>
  <c r="G16"/>
  <c r="G15"/>
  <c r="G12"/>
  <c r="G11"/>
  <c r="G10"/>
  <c r="F32"/>
  <c r="F31"/>
  <c r="F26"/>
  <c r="F25"/>
  <c r="F24"/>
  <c r="F23"/>
  <c r="F22"/>
  <c r="F21"/>
  <c r="F17"/>
  <c r="F16"/>
  <c r="F15"/>
  <c r="F20"/>
  <c r="F12"/>
  <c r="F11"/>
  <c r="F10"/>
  <c r="C31" i="32"/>
  <c r="F29" i="35" s="1"/>
  <c r="D85" i="32"/>
  <c r="D86" s="1"/>
  <c r="D94" s="1"/>
  <c r="D21" s="1"/>
  <c r="G26" i="35" s="1"/>
  <c r="C95" i="32"/>
  <c r="G140" i="45" l="1"/>
  <c r="F141" i="47"/>
  <c r="D177" i="46"/>
  <c r="F47"/>
  <c r="F240" i="44"/>
  <c r="E85" i="32"/>
  <c r="E86" s="1"/>
  <c r="A59" i="43"/>
  <c r="K59" s="1"/>
  <c r="K56" s="1"/>
  <c r="C28"/>
  <c r="F24" i="47" s="1"/>
  <c r="F124" s="1"/>
  <c r="F125" s="1"/>
  <c r="C19" i="41"/>
  <c r="F29" i="45" s="1"/>
  <c r="F22"/>
  <c r="G22"/>
  <c r="D19" i="41"/>
  <c r="G29" i="45" s="1"/>
  <c r="D178"/>
  <c r="C19" i="43"/>
  <c r="F29" i="47" s="1"/>
  <c r="F22"/>
  <c r="G111" i="46"/>
  <c r="G29"/>
  <c r="G22"/>
  <c r="F29"/>
  <c r="F22"/>
  <c r="J201"/>
  <c r="F111"/>
  <c r="F122"/>
  <c r="F123" s="1"/>
  <c r="G122"/>
  <c r="G123" s="1"/>
  <c r="H119" i="45"/>
  <c r="H205" s="1"/>
  <c r="H247" s="1"/>
  <c r="F119"/>
  <c r="F205" s="1"/>
  <c r="F226" s="1"/>
  <c r="H191" i="47"/>
  <c r="G242"/>
  <c r="G241"/>
  <c r="H190" i="46"/>
  <c r="H243" s="1"/>
  <c r="G241"/>
  <c r="G242"/>
  <c r="H245" i="45"/>
  <c r="H246"/>
  <c r="I245"/>
  <c r="I246"/>
  <c r="F106" i="44"/>
  <c r="F115" s="1"/>
  <c r="F205" s="1"/>
  <c r="C22" i="40"/>
  <c r="F24" i="44" s="1"/>
  <c r="F117" s="1"/>
  <c r="F118" s="1"/>
  <c r="T53" i="40"/>
  <c r="J53"/>
  <c r="F222" i="47"/>
  <c r="F243"/>
  <c r="H185" i="44"/>
  <c r="G238"/>
  <c r="G239"/>
  <c r="H183"/>
  <c r="G218"/>
  <c r="G217"/>
  <c r="H189" i="45"/>
  <c r="G224"/>
  <c r="G225"/>
  <c r="G221" i="46"/>
  <c r="G220"/>
  <c r="H221"/>
  <c r="H220"/>
  <c r="D181" i="47"/>
  <c r="D175"/>
  <c r="H189"/>
  <c r="G221"/>
  <c r="G220"/>
  <c r="G63" i="46"/>
  <c r="G64" s="1"/>
  <c r="D99"/>
  <c r="F113" i="47"/>
  <c r="F122" s="1"/>
  <c r="F208" s="1"/>
  <c r="G219" i="44"/>
  <c r="F219"/>
  <c r="H222" i="46"/>
  <c r="H226" i="45"/>
  <c r="F63" i="47"/>
  <c r="F64" s="1"/>
  <c r="D179"/>
  <c r="D179" i="46"/>
  <c r="D174" i="44"/>
  <c r="D180" i="45"/>
  <c r="F100" i="47"/>
  <c r="D106"/>
  <c r="G90"/>
  <c r="G91" s="1"/>
  <c r="F90"/>
  <c r="I188" i="46"/>
  <c r="D89"/>
  <c r="F63"/>
  <c r="F121" i="45"/>
  <c r="F212" s="1"/>
  <c r="J191"/>
  <c r="D106"/>
  <c r="F90"/>
  <c r="G90"/>
  <c r="G91" s="1"/>
  <c r="D100"/>
  <c r="F63"/>
  <c r="G63"/>
  <c r="G64" s="1"/>
  <c r="D100" i="44"/>
  <c r="F84"/>
  <c r="D94"/>
  <c r="F57"/>
  <c r="D59" i="43"/>
  <c r="D53" s="1"/>
  <c r="D66" s="1"/>
  <c r="K57"/>
  <c r="K53"/>
  <c r="K66" s="1"/>
  <c r="K58"/>
  <c r="K54"/>
  <c r="K55"/>
  <c r="I59"/>
  <c r="G59"/>
  <c r="V59"/>
  <c r="U59"/>
  <c r="T59"/>
  <c r="W59"/>
  <c r="C63"/>
  <c r="C59"/>
  <c r="E59"/>
  <c r="R59"/>
  <c r="Q59"/>
  <c r="P59"/>
  <c r="S59"/>
  <c r="J59"/>
  <c r="H59"/>
  <c r="N59"/>
  <c r="M59"/>
  <c r="L59"/>
  <c r="O59"/>
  <c r="D55"/>
  <c r="Z59"/>
  <c r="Y59"/>
  <c r="X59"/>
  <c r="U59" i="41"/>
  <c r="U56" s="1"/>
  <c r="T59"/>
  <c r="T53" s="1"/>
  <c r="T66" s="1"/>
  <c r="W59"/>
  <c r="W57" s="1"/>
  <c r="Z59"/>
  <c r="Z54" s="1"/>
  <c r="Z73" s="1"/>
  <c r="Q59"/>
  <c r="Q55" s="1"/>
  <c r="M59"/>
  <c r="M54" s="1"/>
  <c r="M73" s="1"/>
  <c r="L59"/>
  <c r="L53" s="1"/>
  <c r="L66" s="1"/>
  <c r="O59"/>
  <c r="O57" s="1"/>
  <c r="R59"/>
  <c r="R57" s="1"/>
  <c r="D59"/>
  <c r="D53" s="1"/>
  <c r="D66" s="1"/>
  <c r="Y59"/>
  <c r="X59"/>
  <c r="N59"/>
  <c r="H59"/>
  <c r="J59"/>
  <c r="U58"/>
  <c r="U54"/>
  <c r="U73" s="1"/>
  <c r="U57"/>
  <c r="U53"/>
  <c r="U66" s="1"/>
  <c r="T54"/>
  <c r="T73" s="1"/>
  <c r="W58"/>
  <c r="Z53"/>
  <c r="Z66" s="1"/>
  <c r="K56"/>
  <c r="K57"/>
  <c r="K53"/>
  <c r="K66" s="1"/>
  <c r="K58"/>
  <c r="K54"/>
  <c r="K73" s="1"/>
  <c r="K55"/>
  <c r="K17" s="1"/>
  <c r="F59"/>
  <c r="Q58"/>
  <c r="Q56"/>
  <c r="Q57"/>
  <c r="P59"/>
  <c r="S59"/>
  <c r="V59"/>
  <c r="I59"/>
  <c r="G59"/>
  <c r="M56"/>
  <c r="L58"/>
  <c r="O53"/>
  <c r="O66" s="1"/>
  <c r="R53"/>
  <c r="R66" s="1"/>
  <c r="R58"/>
  <c r="R56"/>
  <c r="C59"/>
  <c r="E59"/>
  <c r="E94" i="32"/>
  <c r="E21" s="1"/>
  <c r="H26" i="35" s="1"/>
  <c r="E93" i="32"/>
  <c r="E20" s="1"/>
  <c r="H25" i="35" s="1"/>
  <c r="E92" i="32"/>
  <c r="E19" s="1"/>
  <c r="H24" i="35" s="1"/>
  <c r="E91" i="32"/>
  <c r="E18" s="1"/>
  <c r="H23" i="35" s="1"/>
  <c r="E90" i="32"/>
  <c r="E17" s="1"/>
  <c r="H22" i="35" s="1"/>
  <c r="E89" i="32"/>
  <c r="E16" s="1"/>
  <c r="H21" i="35" s="1"/>
  <c r="E88" i="32"/>
  <c r="E15" s="1"/>
  <c r="H20" i="35" s="1"/>
  <c r="D88" i="32"/>
  <c r="D15" s="1"/>
  <c r="D89"/>
  <c r="D16" s="1"/>
  <c r="G21" i="35" s="1"/>
  <c r="D90" i="32"/>
  <c r="D17" s="1"/>
  <c r="G22" i="35" s="1"/>
  <c r="D91" i="32"/>
  <c r="D18" s="1"/>
  <c r="G23" i="35" s="1"/>
  <c r="D92" i="32"/>
  <c r="D19" s="1"/>
  <c r="G24" i="35" s="1"/>
  <c r="D93" i="32"/>
  <c r="D20" s="1"/>
  <c r="F85"/>
  <c r="F86" s="1"/>
  <c r="R54"/>
  <c r="Q54"/>
  <c r="P54"/>
  <c r="O54"/>
  <c r="N54"/>
  <c r="M54"/>
  <c r="L54"/>
  <c r="K54"/>
  <c r="J54"/>
  <c r="I54"/>
  <c r="H54"/>
  <c r="G54"/>
  <c r="F54"/>
  <c r="E54"/>
  <c r="F59" i="43" l="1"/>
  <c r="M55" i="41"/>
  <c r="T58"/>
  <c r="D55"/>
  <c r="T55"/>
  <c r="D114" i="24"/>
  <c r="D34" i="32"/>
  <c r="G25" i="35"/>
  <c r="D31" i="32"/>
  <c r="G29" i="35" s="1"/>
  <c r="D33" i="32"/>
  <c r="G31" i="35" s="1"/>
  <c r="G20"/>
  <c r="D56" i="43"/>
  <c r="D58"/>
  <c r="D54"/>
  <c r="G15" i="47" s="1"/>
  <c r="D57" i="43"/>
  <c r="K18"/>
  <c r="Q17" i="41"/>
  <c r="D5" i="43"/>
  <c r="G10" i="47" s="1"/>
  <c r="G45" s="1"/>
  <c r="D68" i="43"/>
  <c r="D6" s="1"/>
  <c r="D69"/>
  <c r="D7" s="1"/>
  <c r="G12" i="47" s="1"/>
  <c r="G97" s="1"/>
  <c r="G100" s="1"/>
  <c r="G28" i="46"/>
  <c r="F247" i="45"/>
  <c r="H243" i="47"/>
  <c r="H242"/>
  <c r="H241"/>
  <c r="I191"/>
  <c r="H241" i="46"/>
  <c r="H242"/>
  <c r="I190"/>
  <c r="J246" i="45"/>
  <c r="J245"/>
  <c r="J247"/>
  <c r="F229" i="47"/>
  <c r="F250"/>
  <c r="F233" i="45"/>
  <c r="F254"/>
  <c r="G210"/>
  <c r="F226" i="44"/>
  <c r="F247"/>
  <c r="H239"/>
  <c r="H238"/>
  <c r="I185"/>
  <c r="H217"/>
  <c r="H218"/>
  <c r="I183"/>
  <c r="H224" i="45"/>
  <c r="H225"/>
  <c r="I189"/>
  <c r="I220" i="46"/>
  <c r="I221"/>
  <c r="I222"/>
  <c r="H222" i="47"/>
  <c r="H220"/>
  <c r="H221"/>
  <c r="I189"/>
  <c r="G99" i="46"/>
  <c r="F99"/>
  <c r="F91" i="47"/>
  <c r="F106"/>
  <c r="G106"/>
  <c r="D105" i="46"/>
  <c r="F89"/>
  <c r="G89"/>
  <c r="G90" s="1"/>
  <c r="G206" s="1"/>
  <c r="J188"/>
  <c r="F64"/>
  <c r="F64" i="45"/>
  <c r="F91"/>
  <c r="K191"/>
  <c r="G100"/>
  <c r="F100"/>
  <c r="F106"/>
  <c r="G106"/>
  <c r="F85" i="44"/>
  <c r="F58"/>
  <c r="F100"/>
  <c r="F94"/>
  <c r="O58" i="41"/>
  <c r="Z58"/>
  <c r="R54"/>
  <c r="R73" s="1"/>
  <c r="O54"/>
  <c r="O73" s="1"/>
  <c r="O11" s="1"/>
  <c r="R15" i="45" s="1"/>
  <c r="Q53" i="41"/>
  <c r="Q66" s="1"/>
  <c r="Q69" s="1"/>
  <c r="Q7" s="1"/>
  <c r="T12" i="45" s="1"/>
  <c r="T97" s="1"/>
  <c r="Q54" i="41"/>
  <c r="Q73" s="1"/>
  <c r="Q75" s="1"/>
  <c r="Q12" s="1"/>
  <c r="T16" i="45" s="1"/>
  <c r="Z55" i="41"/>
  <c r="U55"/>
  <c r="U17" s="1"/>
  <c r="R55"/>
  <c r="R17" s="1"/>
  <c r="O56"/>
  <c r="D54"/>
  <c r="D73" s="1"/>
  <c r="Z56"/>
  <c r="Z57"/>
  <c r="T56"/>
  <c r="Z57" i="43"/>
  <c r="Z53"/>
  <c r="Z66" s="1"/>
  <c r="Z58"/>
  <c r="Z54"/>
  <c r="Z55"/>
  <c r="Z56"/>
  <c r="N57"/>
  <c r="N53"/>
  <c r="N66" s="1"/>
  <c r="N58"/>
  <c r="N54"/>
  <c r="N55"/>
  <c r="N56"/>
  <c r="P55"/>
  <c r="P56"/>
  <c r="P57"/>
  <c r="P53"/>
  <c r="P66" s="1"/>
  <c r="P58"/>
  <c r="P54"/>
  <c r="C56"/>
  <c r="C57"/>
  <c r="C53"/>
  <c r="C66" s="1"/>
  <c r="C58"/>
  <c r="C54"/>
  <c r="F15" i="47" s="1"/>
  <c r="C55" i="43"/>
  <c r="U58"/>
  <c r="U54"/>
  <c r="U55"/>
  <c r="U56"/>
  <c r="U57"/>
  <c r="U53"/>
  <c r="U66" s="1"/>
  <c r="Y58"/>
  <c r="Y54"/>
  <c r="Y55"/>
  <c r="Y56"/>
  <c r="Y57"/>
  <c r="Y53"/>
  <c r="Y66" s="1"/>
  <c r="M58"/>
  <c r="M54"/>
  <c r="M55"/>
  <c r="M56"/>
  <c r="M57"/>
  <c r="M53"/>
  <c r="M66" s="1"/>
  <c r="S56"/>
  <c r="S57"/>
  <c r="S53"/>
  <c r="S66" s="1"/>
  <c r="S58"/>
  <c r="S54"/>
  <c r="S55"/>
  <c r="E58"/>
  <c r="E54"/>
  <c r="E55"/>
  <c r="E56"/>
  <c r="E57"/>
  <c r="E53"/>
  <c r="E66" s="1"/>
  <c r="E5" s="1"/>
  <c r="H10" i="47" s="1"/>
  <c r="T55" i="43"/>
  <c r="T56"/>
  <c r="T57"/>
  <c r="T53"/>
  <c r="T66" s="1"/>
  <c r="T58"/>
  <c r="T54"/>
  <c r="I58"/>
  <c r="I54"/>
  <c r="I55"/>
  <c r="I56"/>
  <c r="I57"/>
  <c r="I53"/>
  <c r="I66" s="1"/>
  <c r="K69"/>
  <c r="K7" s="1"/>
  <c r="N12" i="47" s="1"/>
  <c r="K5" i="43"/>
  <c r="N10" i="47" s="1"/>
  <c r="K68" i="43"/>
  <c r="K6" s="1"/>
  <c r="N11" i="47" s="1"/>
  <c r="X55" i="43"/>
  <c r="X56"/>
  <c r="X57"/>
  <c r="X53"/>
  <c r="X66" s="1"/>
  <c r="X58"/>
  <c r="X54"/>
  <c r="L55"/>
  <c r="L56"/>
  <c r="L57"/>
  <c r="L53"/>
  <c r="L66" s="1"/>
  <c r="L58"/>
  <c r="L54"/>
  <c r="J57"/>
  <c r="J53"/>
  <c r="J66" s="1"/>
  <c r="J58"/>
  <c r="J54"/>
  <c r="J55"/>
  <c r="J56"/>
  <c r="R57"/>
  <c r="R53"/>
  <c r="R66" s="1"/>
  <c r="R58"/>
  <c r="R54"/>
  <c r="R55"/>
  <c r="R56"/>
  <c r="W56"/>
  <c r="W57"/>
  <c r="W53"/>
  <c r="W66" s="1"/>
  <c r="W58"/>
  <c r="W54"/>
  <c r="W55"/>
  <c r="G56"/>
  <c r="G57"/>
  <c r="G53"/>
  <c r="G66" s="1"/>
  <c r="G58"/>
  <c r="G54"/>
  <c r="G55"/>
  <c r="F11"/>
  <c r="I15" i="47" s="1"/>
  <c r="F77" i="43"/>
  <c r="F12" s="1"/>
  <c r="I16" i="47" s="1"/>
  <c r="F78" i="43"/>
  <c r="F13" s="1"/>
  <c r="I17" i="47" s="1"/>
  <c r="I103" s="1"/>
  <c r="I106" s="1"/>
  <c r="O56" i="43"/>
  <c r="O57"/>
  <c r="O53"/>
  <c r="O66" s="1"/>
  <c r="O58"/>
  <c r="O54"/>
  <c r="O55"/>
  <c r="H55"/>
  <c r="H56"/>
  <c r="H57"/>
  <c r="H53"/>
  <c r="H66" s="1"/>
  <c r="H58"/>
  <c r="H54"/>
  <c r="Q58"/>
  <c r="Q54"/>
  <c r="Q55"/>
  <c r="Q56"/>
  <c r="Q57"/>
  <c r="Q53"/>
  <c r="Q66" s="1"/>
  <c r="V57"/>
  <c r="V53"/>
  <c r="V66" s="1"/>
  <c r="V58"/>
  <c r="V54"/>
  <c r="V55"/>
  <c r="V56"/>
  <c r="K78"/>
  <c r="K13" s="1"/>
  <c r="N17" i="47" s="1"/>
  <c r="N103" s="1"/>
  <c r="N106" s="1"/>
  <c r="K11" i="43"/>
  <c r="N15" i="47" s="1"/>
  <c r="K77" i="43"/>
  <c r="K12" s="1"/>
  <c r="N16" i="47" s="1"/>
  <c r="I15" i="46"/>
  <c r="I16"/>
  <c r="I17"/>
  <c r="I102" s="1"/>
  <c r="H11"/>
  <c r="H12"/>
  <c r="H10"/>
  <c r="H16"/>
  <c r="H17"/>
  <c r="H15"/>
  <c r="N17"/>
  <c r="N102" s="1"/>
  <c r="N15"/>
  <c r="N16"/>
  <c r="I10"/>
  <c r="I45" s="1"/>
  <c r="I11"/>
  <c r="I12"/>
  <c r="I96" s="1"/>
  <c r="I99" s="1"/>
  <c r="N12"/>
  <c r="N96" s="1"/>
  <c r="N99" s="1"/>
  <c r="N10"/>
  <c r="N45" s="1"/>
  <c r="N11"/>
  <c r="L55" i="41"/>
  <c r="D58"/>
  <c r="L56"/>
  <c r="W53"/>
  <c r="W66" s="1"/>
  <c r="W5" s="1"/>
  <c r="Z10" i="45" s="1"/>
  <c r="Z45" s="1"/>
  <c r="L54" i="41"/>
  <c r="L73" s="1"/>
  <c r="L11" s="1"/>
  <c r="O15" i="45" s="1"/>
  <c r="D56" i="41"/>
  <c r="L57"/>
  <c r="M57"/>
  <c r="M58"/>
  <c r="D57"/>
  <c r="W54"/>
  <c r="W73" s="1"/>
  <c r="W75" s="1"/>
  <c r="W12" s="1"/>
  <c r="Z16" i="45" s="1"/>
  <c r="W56" i="41"/>
  <c r="T57"/>
  <c r="O55"/>
  <c r="M53"/>
  <c r="M66" s="1"/>
  <c r="M68" s="1"/>
  <c r="M6" s="1"/>
  <c r="P11" i="45" s="1"/>
  <c r="W55" i="41"/>
  <c r="W17" s="1"/>
  <c r="O75"/>
  <c r="O12" s="1"/>
  <c r="R16" i="45" s="1"/>
  <c r="S56" i="41"/>
  <c r="S57"/>
  <c r="S53"/>
  <c r="S66" s="1"/>
  <c r="S58"/>
  <c r="S54"/>
  <c r="S73" s="1"/>
  <c r="S55"/>
  <c r="F57"/>
  <c r="F53"/>
  <c r="F66" s="1"/>
  <c r="F58"/>
  <c r="F54"/>
  <c r="F73" s="1"/>
  <c r="F55"/>
  <c r="F56"/>
  <c r="K76"/>
  <c r="K13" s="1"/>
  <c r="N17" i="45" s="1"/>
  <c r="N103" s="1"/>
  <c r="K75" i="41"/>
  <c r="K12" s="1"/>
  <c r="N16" i="45" s="1"/>
  <c r="K11" i="41"/>
  <c r="N15" i="45" s="1"/>
  <c r="X55" i="41"/>
  <c r="X56"/>
  <c r="X57"/>
  <c r="X53"/>
  <c r="X66" s="1"/>
  <c r="X58"/>
  <c r="X54"/>
  <c r="X73" s="1"/>
  <c r="C56"/>
  <c r="C57"/>
  <c r="C53"/>
  <c r="C66" s="1"/>
  <c r="C58"/>
  <c r="C54"/>
  <c r="C73" s="1"/>
  <c r="C55"/>
  <c r="R75"/>
  <c r="R12" s="1"/>
  <c r="U16" i="45" s="1"/>
  <c r="R11" i="41"/>
  <c r="U15" i="45" s="1"/>
  <c r="R76" i="41"/>
  <c r="R13" s="1"/>
  <c r="U17" i="45" s="1"/>
  <c r="U103" s="1"/>
  <c r="U106" s="1"/>
  <c r="L69" i="41"/>
  <c r="L7" s="1"/>
  <c r="O12" i="45" s="1"/>
  <c r="O97" s="1"/>
  <c r="L68" i="41"/>
  <c r="L6" s="1"/>
  <c r="O11" i="45" s="1"/>
  <c r="L5" i="41"/>
  <c r="O10" i="45" s="1"/>
  <c r="O45" s="1"/>
  <c r="M75" i="41"/>
  <c r="M12" s="1"/>
  <c r="P16" i="45" s="1"/>
  <c r="M11" i="41"/>
  <c r="P15" i="45" s="1"/>
  <c r="M76" i="41"/>
  <c r="M13" s="1"/>
  <c r="P17" i="45" s="1"/>
  <c r="P103" s="1"/>
  <c r="P106" s="1"/>
  <c r="V57" i="41"/>
  <c r="V53"/>
  <c r="V66" s="1"/>
  <c r="V58"/>
  <c r="V54"/>
  <c r="V73" s="1"/>
  <c r="V55"/>
  <c r="V56"/>
  <c r="Z75"/>
  <c r="Z12" s="1"/>
  <c r="AC16" i="45" s="1"/>
  <c r="Z11" i="41"/>
  <c r="AC15" i="45" s="1"/>
  <c r="Z76" i="41"/>
  <c r="Z13" s="1"/>
  <c r="AC17" i="45" s="1"/>
  <c r="AC103" s="1"/>
  <c r="T69" i="41"/>
  <c r="T7" s="1"/>
  <c r="W12" i="45" s="1"/>
  <c r="W97" s="1"/>
  <c r="W100" s="1"/>
  <c r="T68" i="41"/>
  <c r="T6" s="1"/>
  <c r="W11" i="45" s="1"/>
  <c r="T5" i="41"/>
  <c r="W10" i="45" s="1"/>
  <c r="W45" s="1"/>
  <c r="U68" i="41"/>
  <c r="U6" s="1"/>
  <c r="X11" i="45" s="1"/>
  <c r="U5" i="41"/>
  <c r="X10" i="45" s="1"/>
  <c r="X45" s="1"/>
  <c r="U69" i="41"/>
  <c r="U7" s="1"/>
  <c r="X12" i="45" s="1"/>
  <c r="X97" s="1"/>
  <c r="U75" i="41"/>
  <c r="U12" s="1"/>
  <c r="X16" i="45" s="1"/>
  <c r="U11" i="41"/>
  <c r="X15" i="45" s="1"/>
  <c r="U76" i="41"/>
  <c r="U13" s="1"/>
  <c r="X17" i="45" s="1"/>
  <c r="X103" s="1"/>
  <c r="X106" s="1"/>
  <c r="N57" i="41"/>
  <c r="N53"/>
  <c r="N66" s="1"/>
  <c r="N58"/>
  <c r="N54"/>
  <c r="N73" s="1"/>
  <c r="N55"/>
  <c r="N56"/>
  <c r="E58"/>
  <c r="E54"/>
  <c r="E73" s="1"/>
  <c r="E55"/>
  <c r="E56"/>
  <c r="E57"/>
  <c r="E53"/>
  <c r="E66" s="1"/>
  <c r="O69"/>
  <c r="O7" s="1"/>
  <c r="R12" i="45" s="1"/>
  <c r="R97" s="1"/>
  <c r="R100" s="1"/>
  <c r="O68" i="41"/>
  <c r="O6" s="1"/>
  <c r="R11" i="45" s="1"/>
  <c r="O5" i="41"/>
  <c r="R10" i="45" s="1"/>
  <c r="R45" s="1"/>
  <c r="I58" i="41"/>
  <c r="I54"/>
  <c r="I73" s="1"/>
  <c r="I55"/>
  <c r="I56"/>
  <c r="I57"/>
  <c r="I53"/>
  <c r="I66" s="1"/>
  <c r="Q68"/>
  <c r="Q6" s="1"/>
  <c r="T11" i="45" s="1"/>
  <c r="Q5" i="41"/>
  <c r="T10" i="45" s="1"/>
  <c r="T45" s="1"/>
  <c r="Q11" i="41"/>
  <c r="T15" i="45" s="1"/>
  <c r="Q76" i="41"/>
  <c r="Q13" s="1"/>
  <c r="T17" i="45" s="1"/>
  <c r="T103" s="1"/>
  <c r="T106" s="1"/>
  <c r="K69" i="41"/>
  <c r="K7" s="1"/>
  <c r="N12" i="45" s="1"/>
  <c r="N97" s="1"/>
  <c r="K68" i="41"/>
  <c r="K6" s="1"/>
  <c r="N11" i="45" s="1"/>
  <c r="K5" i="41"/>
  <c r="N10" i="45" s="1"/>
  <c r="N45" s="1"/>
  <c r="W69" i="41"/>
  <c r="W7" s="1"/>
  <c r="Z12" i="45" s="1"/>
  <c r="Z97" s="1"/>
  <c r="Z100" s="1"/>
  <c r="H55" i="41"/>
  <c r="H56"/>
  <c r="H57"/>
  <c r="H53"/>
  <c r="H66" s="1"/>
  <c r="H58"/>
  <c r="H54"/>
  <c r="H73" s="1"/>
  <c r="R68"/>
  <c r="R6" s="1"/>
  <c r="U11" i="45" s="1"/>
  <c r="R5" i="41"/>
  <c r="U10" i="45" s="1"/>
  <c r="U45" s="1"/>
  <c r="R69" i="41"/>
  <c r="R7" s="1"/>
  <c r="U12" i="45" s="1"/>
  <c r="U97" s="1"/>
  <c r="U100" s="1"/>
  <c r="L76" i="41"/>
  <c r="L13" s="1"/>
  <c r="O17" i="45" s="1"/>
  <c r="O103" s="1"/>
  <c r="O106" s="1"/>
  <c r="G56" i="41"/>
  <c r="G57"/>
  <c r="G53"/>
  <c r="G66" s="1"/>
  <c r="G58"/>
  <c r="G54"/>
  <c r="G73" s="1"/>
  <c r="G55"/>
  <c r="P55"/>
  <c r="P56"/>
  <c r="P57"/>
  <c r="P53"/>
  <c r="P66" s="1"/>
  <c r="P58"/>
  <c r="P54"/>
  <c r="P73" s="1"/>
  <c r="Z68"/>
  <c r="Z6" s="1"/>
  <c r="AC11" i="45" s="1"/>
  <c r="Z5" i="41"/>
  <c r="AC10" i="45" s="1"/>
  <c r="AC45" s="1"/>
  <c r="Z69" i="41"/>
  <c r="Z7" s="1"/>
  <c r="AC12" i="45" s="1"/>
  <c r="AC97" s="1"/>
  <c r="AC100" s="1"/>
  <c r="T76" i="41"/>
  <c r="T13" s="1"/>
  <c r="W17" i="45" s="1"/>
  <c r="W103" s="1"/>
  <c r="W106" s="1"/>
  <c r="T75" i="41"/>
  <c r="T12" s="1"/>
  <c r="W16" i="45" s="1"/>
  <c r="T11" i="41"/>
  <c r="W15" i="45" s="1"/>
  <c r="J57" i="41"/>
  <c r="J53"/>
  <c r="J66" s="1"/>
  <c r="J58"/>
  <c r="J54"/>
  <c r="J73" s="1"/>
  <c r="J55"/>
  <c r="J56"/>
  <c r="Y58"/>
  <c r="Y54"/>
  <c r="Y73" s="1"/>
  <c r="Y55"/>
  <c r="Y56"/>
  <c r="Y57"/>
  <c r="Y53"/>
  <c r="Y66" s="1"/>
  <c r="F94" i="32"/>
  <c r="F21" s="1"/>
  <c r="I26" i="35" s="1"/>
  <c r="F93" i="32"/>
  <c r="F20" s="1"/>
  <c r="I25" i="35" s="1"/>
  <c r="F92" i="32"/>
  <c r="F19" s="1"/>
  <c r="I24" i="35" s="1"/>
  <c r="F91" i="32"/>
  <c r="F18" s="1"/>
  <c r="I23" i="35" s="1"/>
  <c r="F90" i="32"/>
  <c r="F17" s="1"/>
  <c r="I22" i="35" s="1"/>
  <c r="F89" i="32"/>
  <c r="F16" s="1"/>
  <c r="I21" i="35" s="1"/>
  <c r="F88" i="32"/>
  <c r="F15" s="1"/>
  <c r="I20" i="35" s="1"/>
  <c r="A58" i="32"/>
  <c r="G85"/>
  <c r="G86" s="1"/>
  <c r="A60"/>
  <c r="A63"/>
  <c r="A59"/>
  <c r="A62"/>
  <c r="A61"/>
  <c r="D17" i="43" l="1"/>
  <c r="G28" i="47" s="1"/>
  <c r="F58" i="43"/>
  <c r="F53"/>
  <c r="F66" s="1"/>
  <c r="F56"/>
  <c r="F54"/>
  <c r="F57"/>
  <c r="F55"/>
  <c r="F18" s="1"/>
  <c r="F17" i="41"/>
  <c r="O76"/>
  <c r="O13" s="1"/>
  <c r="R17" i="45" s="1"/>
  <c r="R103" s="1"/>
  <c r="R106" s="1"/>
  <c r="L17" i="41"/>
  <c r="W76"/>
  <c r="W13" s="1"/>
  <c r="Z17" i="45" s="1"/>
  <c r="Z103" s="1"/>
  <c r="Z106" s="1"/>
  <c r="O17" i="41"/>
  <c r="S17"/>
  <c r="D35" i="32"/>
  <c r="G32" i="35"/>
  <c r="C114" i="24"/>
  <c r="M17" i="41"/>
  <c r="T17"/>
  <c r="Z17"/>
  <c r="G28" i="45"/>
  <c r="AD28" s="1"/>
  <c r="G71" i="47"/>
  <c r="G18" i="43"/>
  <c r="Y18"/>
  <c r="G119" i="45"/>
  <c r="W71"/>
  <c r="X71"/>
  <c r="X47"/>
  <c r="U71"/>
  <c r="N74"/>
  <c r="T74"/>
  <c r="Y17" i="41"/>
  <c r="J17"/>
  <c r="P17"/>
  <c r="H17"/>
  <c r="V17"/>
  <c r="N106" i="45"/>
  <c r="X100"/>
  <c r="O100"/>
  <c r="N47"/>
  <c r="P74"/>
  <c r="N71"/>
  <c r="O71"/>
  <c r="N100"/>
  <c r="T100"/>
  <c r="W74"/>
  <c r="AC47"/>
  <c r="U47"/>
  <c r="T71"/>
  <c r="W47"/>
  <c r="AC74"/>
  <c r="P71"/>
  <c r="R74"/>
  <c r="R71"/>
  <c r="E17" i="41"/>
  <c r="N17"/>
  <c r="T47" i="45"/>
  <c r="R47"/>
  <c r="X74"/>
  <c r="AC71"/>
  <c r="O47"/>
  <c r="U74"/>
  <c r="P47"/>
  <c r="Z74"/>
  <c r="G17" i="41"/>
  <c r="I17"/>
  <c r="X17"/>
  <c r="AC106" i="45"/>
  <c r="R18" i="43"/>
  <c r="L18"/>
  <c r="S18"/>
  <c r="U18"/>
  <c r="N18"/>
  <c r="AD28" i="47"/>
  <c r="G120"/>
  <c r="O18" i="43"/>
  <c r="J18"/>
  <c r="X18"/>
  <c r="P18"/>
  <c r="Z18"/>
  <c r="G11" i="47"/>
  <c r="D27" i="43"/>
  <c r="D26"/>
  <c r="D24"/>
  <c r="V18"/>
  <c r="Q18"/>
  <c r="H18"/>
  <c r="W18"/>
  <c r="I18"/>
  <c r="T18"/>
  <c r="E18"/>
  <c r="M18"/>
  <c r="H73" i="46"/>
  <c r="I71"/>
  <c r="N47"/>
  <c r="I47"/>
  <c r="H102"/>
  <c r="H105" s="1"/>
  <c r="H47"/>
  <c r="I73"/>
  <c r="N71"/>
  <c r="H71"/>
  <c r="H96"/>
  <c r="N73"/>
  <c r="H45"/>
  <c r="AD28"/>
  <c r="F71" i="47"/>
  <c r="N71"/>
  <c r="I71"/>
  <c r="H45"/>
  <c r="N97"/>
  <c r="N100" s="1"/>
  <c r="I243"/>
  <c r="I242"/>
  <c r="I241"/>
  <c r="J191"/>
  <c r="I241" i="46"/>
  <c r="I242"/>
  <c r="I243"/>
  <c r="J190"/>
  <c r="K247" i="45"/>
  <c r="K246"/>
  <c r="K245"/>
  <c r="G227" i="46"/>
  <c r="G248"/>
  <c r="G231" i="45"/>
  <c r="G252"/>
  <c r="I238" i="44"/>
  <c r="I239"/>
  <c r="J185"/>
  <c r="I218"/>
  <c r="I217"/>
  <c r="J183"/>
  <c r="I224" i="45"/>
  <c r="I225"/>
  <c r="I226"/>
  <c r="J189"/>
  <c r="J220" i="46"/>
  <c r="J221"/>
  <c r="J222"/>
  <c r="N45" i="47"/>
  <c r="I222"/>
  <c r="I220"/>
  <c r="I221"/>
  <c r="J189"/>
  <c r="N47"/>
  <c r="N74"/>
  <c r="I74"/>
  <c r="F206"/>
  <c r="F203" i="44"/>
  <c r="F210" i="45"/>
  <c r="K188" i="46"/>
  <c r="F90"/>
  <c r="G105"/>
  <c r="I105"/>
  <c r="F105"/>
  <c r="N105"/>
  <c r="L191" i="45"/>
  <c r="L75" i="41"/>
  <c r="L12" s="1"/>
  <c r="O16" i="45" s="1"/>
  <c r="W68" i="41"/>
  <c r="W6" s="1"/>
  <c r="W26" s="1"/>
  <c r="O78" i="43"/>
  <c r="O13" s="1"/>
  <c r="R17" i="47" s="1"/>
  <c r="R103" s="1"/>
  <c r="R106" s="1"/>
  <c r="O11" i="43"/>
  <c r="R15" i="47" s="1"/>
  <c r="O77" i="43"/>
  <c r="O12" s="1"/>
  <c r="R16" i="47" s="1"/>
  <c r="R5" i="43"/>
  <c r="U10" i="47" s="1"/>
  <c r="R68" i="43"/>
  <c r="R6" s="1"/>
  <c r="U11" i="47" s="1"/>
  <c r="R69" i="43"/>
  <c r="R7" s="1"/>
  <c r="U12" i="47" s="1"/>
  <c r="L78" i="43"/>
  <c r="L13" s="1"/>
  <c r="O17" i="47" s="1"/>
  <c r="O103" s="1"/>
  <c r="O106" s="1"/>
  <c r="L11" i="43"/>
  <c r="O15" i="47" s="1"/>
  <c r="L77" i="43"/>
  <c r="L12" s="1"/>
  <c r="O16" i="47" s="1"/>
  <c r="X69" i="43"/>
  <c r="X7" s="1"/>
  <c r="AA12" i="47" s="1"/>
  <c r="X5" i="43"/>
  <c r="AA10" i="47" s="1"/>
  <c r="X68" i="43"/>
  <c r="X6" s="1"/>
  <c r="AA11" i="47" s="1"/>
  <c r="K27" i="43"/>
  <c r="K26"/>
  <c r="K24"/>
  <c r="S69"/>
  <c r="S7" s="1"/>
  <c r="V12" i="47" s="1"/>
  <c r="S5" i="43"/>
  <c r="V10" i="47" s="1"/>
  <c r="S68" i="43"/>
  <c r="S6" s="1"/>
  <c r="V11" i="47" s="1"/>
  <c r="Y68" i="43"/>
  <c r="Y6" s="1"/>
  <c r="AB11" i="47" s="1"/>
  <c r="Y69" i="43"/>
  <c r="Y7" s="1"/>
  <c r="AB12" i="47" s="1"/>
  <c r="Y5" i="43"/>
  <c r="AB10" i="47" s="1"/>
  <c r="Y77" i="43"/>
  <c r="Y12" s="1"/>
  <c r="AB16" i="47" s="1"/>
  <c r="Y78" i="43"/>
  <c r="Y13" s="1"/>
  <c r="AB17" i="47" s="1"/>
  <c r="AB103" s="1"/>
  <c r="AB106" s="1"/>
  <c r="Y11" i="43"/>
  <c r="AB15" i="47" s="1"/>
  <c r="P69" i="43"/>
  <c r="P7" s="1"/>
  <c r="S12" i="47" s="1"/>
  <c r="P5" i="43"/>
  <c r="S10" i="47" s="1"/>
  <c r="P68" i="43"/>
  <c r="P6" s="1"/>
  <c r="S11" i="47" s="1"/>
  <c r="N5" i="43"/>
  <c r="Q10" i="47" s="1"/>
  <c r="N68" i="43"/>
  <c r="N6" s="1"/>
  <c r="Q11" i="47" s="1"/>
  <c r="N69" i="43"/>
  <c r="N7" s="1"/>
  <c r="Q12" i="47" s="1"/>
  <c r="Z11" i="43"/>
  <c r="AC15" i="47" s="1"/>
  <c r="Z77" i="43"/>
  <c r="Z12" s="1"/>
  <c r="AC16" i="47" s="1"/>
  <c r="Z78" i="43"/>
  <c r="Z13" s="1"/>
  <c r="AC17" i="47" s="1"/>
  <c r="AC103" s="1"/>
  <c r="V11" i="43"/>
  <c r="Y15" i="47" s="1"/>
  <c r="V77" i="43"/>
  <c r="V12" s="1"/>
  <c r="Y16" i="47" s="1"/>
  <c r="V78" i="43"/>
  <c r="V13" s="1"/>
  <c r="Y17" i="47" s="1"/>
  <c r="Y103" s="1"/>
  <c r="Y106" s="1"/>
  <c r="Q68" i="43"/>
  <c r="Q6" s="1"/>
  <c r="T11" i="47" s="1"/>
  <c r="Q69" i="43"/>
  <c r="Q7" s="1"/>
  <c r="T12" i="47" s="1"/>
  <c r="Q5" i="43"/>
  <c r="T10" i="47" s="1"/>
  <c r="Q77" i="43"/>
  <c r="Q12" s="1"/>
  <c r="T16" i="47" s="1"/>
  <c r="Q78" i="43"/>
  <c r="Q13" s="1"/>
  <c r="T17" i="47" s="1"/>
  <c r="T103" s="1"/>
  <c r="T106" s="1"/>
  <c r="Q11" i="43"/>
  <c r="T15" i="47" s="1"/>
  <c r="H69" i="43"/>
  <c r="H7" s="1"/>
  <c r="K12" i="47" s="1"/>
  <c r="H5" i="43"/>
  <c r="K10" i="47" s="1"/>
  <c r="H68" i="43"/>
  <c r="H6" s="1"/>
  <c r="K11" i="47" s="1"/>
  <c r="G69" i="43"/>
  <c r="G7" s="1"/>
  <c r="J12" i="47" s="1"/>
  <c r="G5" i="43"/>
  <c r="J10" i="47" s="1"/>
  <c r="G68" i="43"/>
  <c r="G6" s="1"/>
  <c r="J11" i="47" s="1"/>
  <c r="W78" i="43"/>
  <c r="W13" s="1"/>
  <c r="Z17" i="47" s="1"/>
  <c r="Z103" s="1"/>
  <c r="Z106" s="1"/>
  <c r="W11" i="43"/>
  <c r="Z15" i="47" s="1"/>
  <c r="W77" i="43"/>
  <c r="W12" s="1"/>
  <c r="Z16" i="47" s="1"/>
  <c r="I68" i="43"/>
  <c r="I6" s="1"/>
  <c r="L11" i="47" s="1"/>
  <c r="I69" i="43"/>
  <c r="I7" s="1"/>
  <c r="L12" i="47" s="1"/>
  <c r="I5" i="43"/>
  <c r="L10" i="47" s="1"/>
  <c r="I77" i="43"/>
  <c r="I12" s="1"/>
  <c r="L16" i="47" s="1"/>
  <c r="I78" i="43"/>
  <c r="I13" s="1"/>
  <c r="L17" i="47" s="1"/>
  <c r="L103" s="1"/>
  <c r="L106" s="1"/>
  <c r="I11" i="43"/>
  <c r="L15" i="47" s="1"/>
  <c r="T69" i="43"/>
  <c r="T7" s="1"/>
  <c r="W12" i="47" s="1"/>
  <c r="T5" i="43"/>
  <c r="W10" i="47" s="1"/>
  <c r="T68" i="43"/>
  <c r="T6" s="1"/>
  <c r="W11" i="47" s="1"/>
  <c r="E68" i="43"/>
  <c r="E6" s="1"/>
  <c r="H11" i="47" s="1"/>
  <c r="E69" i="43"/>
  <c r="E7" s="1"/>
  <c r="H12" i="47" s="1"/>
  <c r="E77" i="43"/>
  <c r="E12" s="1"/>
  <c r="H16" i="47" s="1"/>
  <c r="E78" i="43"/>
  <c r="E13" s="1"/>
  <c r="H17" i="47" s="1"/>
  <c r="E11" i="43"/>
  <c r="H15" i="47" s="1"/>
  <c r="M68" i="43"/>
  <c r="M6" s="1"/>
  <c r="P11" i="47" s="1"/>
  <c r="M69" i="43"/>
  <c r="M7" s="1"/>
  <c r="P12" i="47" s="1"/>
  <c r="M5" i="43"/>
  <c r="P10" i="47" s="1"/>
  <c r="M77" i="43"/>
  <c r="M12" s="1"/>
  <c r="P16" i="47" s="1"/>
  <c r="M78" i="43"/>
  <c r="M13" s="1"/>
  <c r="P17" i="47" s="1"/>
  <c r="P103" s="1"/>
  <c r="P106" s="1"/>
  <c r="M11" i="43"/>
  <c r="P15" i="47" s="1"/>
  <c r="O69" i="43"/>
  <c r="O7" s="1"/>
  <c r="R12" i="47" s="1"/>
  <c r="O5" i="43"/>
  <c r="R10" i="47" s="1"/>
  <c r="O68" i="43"/>
  <c r="O6" s="1"/>
  <c r="R11" i="47" s="1"/>
  <c r="R11" i="43"/>
  <c r="U15" i="47" s="1"/>
  <c r="R77" i="43"/>
  <c r="R12" s="1"/>
  <c r="U16" i="47" s="1"/>
  <c r="R78" i="43"/>
  <c r="R13" s="1"/>
  <c r="U17" i="47" s="1"/>
  <c r="U103" s="1"/>
  <c r="U106" s="1"/>
  <c r="J5" i="43"/>
  <c r="M10" i="47" s="1"/>
  <c r="J68" i="43"/>
  <c r="J6" s="1"/>
  <c r="M11" i="47" s="1"/>
  <c r="J69" i="43"/>
  <c r="J7" s="1"/>
  <c r="M12" i="47" s="1"/>
  <c r="L69" i="43"/>
  <c r="L7" s="1"/>
  <c r="O12" i="47" s="1"/>
  <c r="L5" i="43"/>
  <c r="O10" i="47" s="1"/>
  <c r="L68" i="43"/>
  <c r="L6" s="1"/>
  <c r="O11" i="47" s="1"/>
  <c r="X78" i="43"/>
  <c r="X13" s="1"/>
  <c r="AA17" i="47" s="1"/>
  <c r="AA103" s="1"/>
  <c r="AA106" s="1"/>
  <c r="X11" i="43"/>
  <c r="AA15" i="47" s="1"/>
  <c r="X77" i="43"/>
  <c r="X12" s="1"/>
  <c r="AA16" i="47" s="1"/>
  <c r="S78" i="43"/>
  <c r="S13" s="1"/>
  <c r="V17" i="47" s="1"/>
  <c r="V103" s="1"/>
  <c r="V106" s="1"/>
  <c r="S11" i="43"/>
  <c r="V15" i="47" s="1"/>
  <c r="S77" i="43"/>
  <c r="S12" s="1"/>
  <c r="V16" i="47" s="1"/>
  <c r="U68" i="43"/>
  <c r="U6" s="1"/>
  <c r="X11" i="47" s="1"/>
  <c r="U69" i="43"/>
  <c r="U7" s="1"/>
  <c r="X12" i="47" s="1"/>
  <c r="U5" i="43"/>
  <c r="X10" i="47" s="1"/>
  <c r="U77" i="43"/>
  <c r="U12" s="1"/>
  <c r="X16" i="47" s="1"/>
  <c r="U78" i="43"/>
  <c r="U13" s="1"/>
  <c r="X17" i="47" s="1"/>
  <c r="X103" s="1"/>
  <c r="X106" s="1"/>
  <c r="U11" i="43"/>
  <c r="X15" i="47" s="1"/>
  <c r="P78" i="43"/>
  <c r="P13" s="1"/>
  <c r="S17" i="47" s="1"/>
  <c r="S103" s="1"/>
  <c r="S106" s="1"/>
  <c r="P11" i="43"/>
  <c r="S15" i="47" s="1"/>
  <c r="P77" i="43"/>
  <c r="P12" s="1"/>
  <c r="S16" i="47" s="1"/>
  <c r="N11" i="43"/>
  <c r="Q15" i="47" s="1"/>
  <c r="N77" i="43"/>
  <c r="N12" s="1"/>
  <c r="Q16" i="47" s="1"/>
  <c r="N78" i="43"/>
  <c r="N13" s="1"/>
  <c r="Q17" i="47" s="1"/>
  <c r="Q103" s="1"/>
  <c r="Q106" s="1"/>
  <c r="Z5" i="43"/>
  <c r="AC10" i="47" s="1"/>
  <c r="Z68" i="43"/>
  <c r="Z6" s="1"/>
  <c r="AC11" i="47" s="1"/>
  <c r="Z69" i="43"/>
  <c r="Z7" s="1"/>
  <c r="AC12" i="47" s="1"/>
  <c r="H78" i="43"/>
  <c r="H13" s="1"/>
  <c r="K17" i="47" s="1"/>
  <c r="K103" s="1"/>
  <c r="K106" s="1"/>
  <c r="H11" i="43"/>
  <c r="K15" i="47" s="1"/>
  <c r="H77" i="43"/>
  <c r="H12" s="1"/>
  <c r="K16" i="47" s="1"/>
  <c r="G78" i="43"/>
  <c r="G13" s="1"/>
  <c r="J17" i="47" s="1"/>
  <c r="J103" s="1"/>
  <c r="J106" s="1"/>
  <c r="G11" i="43"/>
  <c r="J15" i="47" s="1"/>
  <c r="G77" i="43"/>
  <c r="G12" s="1"/>
  <c r="J16" i="47" s="1"/>
  <c r="W69" i="43"/>
  <c r="W7" s="1"/>
  <c r="Z12" i="47" s="1"/>
  <c r="W5" i="43"/>
  <c r="Z10" i="47" s="1"/>
  <c r="W68" i="43"/>
  <c r="W6" s="1"/>
  <c r="Z11" i="47" s="1"/>
  <c r="T78" i="43"/>
  <c r="T13" s="1"/>
  <c r="W17" i="47" s="1"/>
  <c r="W103" s="1"/>
  <c r="W106" s="1"/>
  <c r="T11" i="43"/>
  <c r="W15" i="47" s="1"/>
  <c r="T77" i="43"/>
  <c r="T12" s="1"/>
  <c r="W16" i="47" s="1"/>
  <c r="V5" i="43"/>
  <c r="Y10" i="47" s="1"/>
  <c r="V68" i="43"/>
  <c r="V6" s="1"/>
  <c r="Y11" i="47" s="1"/>
  <c r="V69" i="43"/>
  <c r="V7" s="1"/>
  <c r="Y12" i="47" s="1"/>
  <c r="J11" i="43"/>
  <c r="M15" i="47" s="1"/>
  <c r="J77" i="43"/>
  <c r="J12" s="1"/>
  <c r="M16" i="47" s="1"/>
  <c r="J78" i="43"/>
  <c r="J13" s="1"/>
  <c r="M17" i="47" s="1"/>
  <c r="M103" s="1"/>
  <c r="L11" i="46"/>
  <c r="L12"/>
  <c r="L96" s="1"/>
  <c r="L10"/>
  <c r="L45" s="1"/>
  <c r="W12"/>
  <c r="W96" s="1"/>
  <c r="W10"/>
  <c r="W45" s="1"/>
  <c r="W11"/>
  <c r="Y10"/>
  <c r="Y45" s="1"/>
  <c r="Y11"/>
  <c r="Y12"/>
  <c r="Y96" s="1"/>
  <c r="J17"/>
  <c r="J102" s="1"/>
  <c r="J15"/>
  <c r="J16"/>
  <c r="R12"/>
  <c r="R96" s="1"/>
  <c r="R10"/>
  <c r="R45" s="1"/>
  <c r="R11"/>
  <c r="U10"/>
  <c r="U45" s="1"/>
  <c r="U11"/>
  <c r="U12"/>
  <c r="U96" s="1"/>
  <c r="M15"/>
  <c r="M16"/>
  <c r="M17"/>
  <c r="M102" s="1"/>
  <c r="O17"/>
  <c r="O102" s="1"/>
  <c r="O15"/>
  <c r="O16"/>
  <c r="AA12"/>
  <c r="AA96" s="1"/>
  <c r="AA10"/>
  <c r="AA45" s="1"/>
  <c r="AA11"/>
  <c r="X11"/>
  <c r="X12"/>
  <c r="X96" s="1"/>
  <c r="X10"/>
  <c r="X45" s="1"/>
  <c r="X16"/>
  <c r="X17"/>
  <c r="X102" s="1"/>
  <c r="X15"/>
  <c r="S12"/>
  <c r="S96" s="1"/>
  <c r="S10"/>
  <c r="S45" s="1"/>
  <c r="S11"/>
  <c r="Q10"/>
  <c r="Q45" s="1"/>
  <c r="Q11"/>
  <c r="Q12"/>
  <c r="Q96" s="1"/>
  <c r="AC15"/>
  <c r="AC16"/>
  <c r="AC17"/>
  <c r="AC102" s="1"/>
  <c r="K17"/>
  <c r="K102" s="1"/>
  <c r="K15"/>
  <c r="K16"/>
  <c r="W17"/>
  <c r="W102" s="1"/>
  <c r="W15"/>
  <c r="W16"/>
  <c r="V12"/>
  <c r="V96" s="1"/>
  <c r="V10"/>
  <c r="V45" s="1"/>
  <c r="V11"/>
  <c r="AB11"/>
  <c r="AB12"/>
  <c r="AB96" s="1"/>
  <c r="AB10"/>
  <c r="AB45" s="1"/>
  <c r="AB16"/>
  <c r="AB17"/>
  <c r="AB102" s="1"/>
  <c r="AB15"/>
  <c r="Y15"/>
  <c r="Y16"/>
  <c r="Y17"/>
  <c r="Y102" s="1"/>
  <c r="J12"/>
  <c r="J96" s="1"/>
  <c r="J10"/>
  <c r="J45" s="1"/>
  <c r="J11"/>
  <c r="Z17"/>
  <c r="Z102" s="1"/>
  <c r="Z15"/>
  <c r="Z16"/>
  <c r="R17"/>
  <c r="R102" s="1"/>
  <c r="R15"/>
  <c r="R16"/>
  <c r="U15"/>
  <c r="U16"/>
  <c r="U17"/>
  <c r="U102" s="1"/>
  <c r="M10"/>
  <c r="M45" s="1"/>
  <c r="M11"/>
  <c r="M12"/>
  <c r="M96" s="1"/>
  <c r="O12"/>
  <c r="O96" s="1"/>
  <c r="O10"/>
  <c r="O45" s="1"/>
  <c r="O11"/>
  <c r="AA17"/>
  <c r="AA102" s="1"/>
  <c r="AA15"/>
  <c r="AA16"/>
  <c r="P11"/>
  <c r="P12"/>
  <c r="P96" s="1"/>
  <c r="P10"/>
  <c r="P45" s="1"/>
  <c r="P16"/>
  <c r="P17"/>
  <c r="P102" s="1"/>
  <c r="P15"/>
  <c r="S17"/>
  <c r="S102" s="1"/>
  <c r="S15"/>
  <c r="S16"/>
  <c r="Q15"/>
  <c r="Q16"/>
  <c r="Q17"/>
  <c r="Q102" s="1"/>
  <c r="AC10"/>
  <c r="AC45" s="1"/>
  <c r="AC11"/>
  <c r="AC12"/>
  <c r="AC96" s="1"/>
  <c r="T11"/>
  <c r="T12"/>
  <c r="T96" s="1"/>
  <c r="T10"/>
  <c r="T45" s="1"/>
  <c r="T16"/>
  <c r="T17"/>
  <c r="T102" s="1"/>
  <c r="T15"/>
  <c r="K12"/>
  <c r="K96" s="1"/>
  <c r="K10"/>
  <c r="K45" s="1"/>
  <c r="K11"/>
  <c r="L16"/>
  <c r="L17"/>
  <c r="L102" s="1"/>
  <c r="L15"/>
  <c r="Z12"/>
  <c r="Z96" s="1"/>
  <c r="Z10"/>
  <c r="Z45" s="1"/>
  <c r="Z11"/>
  <c r="V17"/>
  <c r="V102" s="1"/>
  <c r="V15"/>
  <c r="V16"/>
  <c r="M5" i="41"/>
  <c r="P10" i="45" s="1"/>
  <c r="P45" s="1"/>
  <c r="W11" i="41"/>
  <c r="Z15" i="45" s="1"/>
  <c r="M69" i="41"/>
  <c r="M7" s="1"/>
  <c r="P12" i="45" s="1"/>
  <c r="P97" s="1"/>
  <c r="Y75" i="41"/>
  <c r="Y12" s="1"/>
  <c r="AB16" i="45" s="1"/>
  <c r="Y11" i="41"/>
  <c r="AB15" i="45" s="1"/>
  <c r="Y76" i="41"/>
  <c r="Y13" s="1"/>
  <c r="AB17" i="45" s="1"/>
  <c r="AB103" s="1"/>
  <c r="AB106" s="1"/>
  <c r="J75" i="41"/>
  <c r="J12" s="1"/>
  <c r="M16" i="45" s="1"/>
  <c r="J11" i="41"/>
  <c r="M15" i="45" s="1"/>
  <c r="J76" i="41"/>
  <c r="J13" s="1"/>
  <c r="M17" i="45" s="1"/>
  <c r="M103" s="1"/>
  <c r="M106" s="1"/>
  <c r="P69" i="41"/>
  <c r="P7" s="1"/>
  <c r="S12" i="45" s="1"/>
  <c r="S97" s="1"/>
  <c r="P68" i="41"/>
  <c r="P6" s="1"/>
  <c r="S11" i="45" s="1"/>
  <c r="P5" i="41"/>
  <c r="S10" i="45" s="1"/>
  <c r="S45" s="1"/>
  <c r="H76" i="41"/>
  <c r="H13" s="1"/>
  <c r="K17" i="45" s="1"/>
  <c r="K103" s="1"/>
  <c r="H75" i="41"/>
  <c r="H12" s="1"/>
  <c r="K16" i="45" s="1"/>
  <c r="H11" i="41"/>
  <c r="K15" i="45" s="1"/>
  <c r="U27" i="41"/>
  <c r="U26"/>
  <c r="U24"/>
  <c r="L27"/>
  <c r="L26"/>
  <c r="S69"/>
  <c r="S7" s="1"/>
  <c r="V12" i="45" s="1"/>
  <c r="V97" s="1"/>
  <c r="S68" i="41"/>
  <c r="S6" s="1"/>
  <c r="V11" i="45" s="1"/>
  <c r="S5" i="41"/>
  <c r="V10" i="45" s="1"/>
  <c r="V45" s="1"/>
  <c r="G69" i="41"/>
  <c r="G7" s="1"/>
  <c r="J12" i="45" s="1"/>
  <c r="J97" s="1"/>
  <c r="G68" i="41"/>
  <c r="G6" s="1"/>
  <c r="J11" i="45" s="1"/>
  <c r="G5" i="41"/>
  <c r="J10" i="45" s="1"/>
  <c r="J45" s="1"/>
  <c r="R27" i="41"/>
  <c r="R26"/>
  <c r="R24"/>
  <c r="W27"/>
  <c r="E68"/>
  <c r="E6" s="1"/>
  <c r="H11" i="45" s="1"/>
  <c r="E5" i="41"/>
  <c r="H10" i="45" s="1"/>
  <c r="E69" i="41"/>
  <c r="E7" s="1"/>
  <c r="H12" i="45" s="1"/>
  <c r="E75" i="41"/>
  <c r="E12" s="1"/>
  <c r="H16" i="45" s="1"/>
  <c r="E11" i="41"/>
  <c r="H15" i="45" s="1"/>
  <c r="E76" i="41"/>
  <c r="E13" s="1"/>
  <c r="H17" i="45" s="1"/>
  <c r="N75" i="41"/>
  <c r="N12" s="1"/>
  <c r="Q16" i="45" s="1"/>
  <c r="N11" i="41"/>
  <c r="Q15" i="45" s="1"/>
  <c r="N76" i="41"/>
  <c r="N13" s="1"/>
  <c r="Q17" i="45" s="1"/>
  <c r="Q103" s="1"/>
  <c r="Q106" s="1"/>
  <c r="V68" i="41"/>
  <c r="V6" s="1"/>
  <c r="Y11" i="45" s="1"/>
  <c r="V5" i="41"/>
  <c r="Y10" i="45" s="1"/>
  <c r="Y45" s="1"/>
  <c r="V69" i="41"/>
  <c r="V7" s="1"/>
  <c r="Y12" i="45" s="1"/>
  <c r="Y97" s="1"/>
  <c r="X76" i="41"/>
  <c r="X13" s="1"/>
  <c r="AA17" i="45" s="1"/>
  <c r="AA103" s="1"/>
  <c r="AA106" s="1"/>
  <c r="X75" i="41"/>
  <c r="X12" s="1"/>
  <c r="AA16" i="45" s="1"/>
  <c r="X11" i="41"/>
  <c r="AA15" i="45" s="1"/>
  <c r="F68" i="41"/>
  <c r="F6" s="1"/>
  <c r="I11" i="45" s="1"/>
  <c r="F5" i="41"/>
  <c r="I10" i="45" s="1"/>
  <c r="I45" s="1"/>
  <c r="F69" i="41"/>
  <c r="F7" s="1"/>
  <c r="I12" i="45" s="1"/>
  <c r="I97" s="1"/>
  <c r="J68" i="41"/>
  <c r="J6" s="1"/>
  <c r="M11" i="45" s="1"/>
  <c r="J5" i="41"/>
  <c r="M10" i="45" s="1"/>
  <c r="M45" s="1"/>
  <c r="J69" i="41"/>
  <c r="J7" s="1"/>
  <c r="M12" i="45" s="1"/>
  <c r="M97" s="1"/>
  <c r="P76" i="41"/>
  <c r="P13" s="1"/>
  <c r="S17" i="45" s="1"/>
  <c r="S103" s="1"/>
  <c r="S106" s="1"/>
  <c r="P75" i="41"/>
  <c r="P12" s="1"/>
  <c r="S16" i="45" s="1"/>
  <c r="P11" i="41"/>
  <c r="S15" i="45" s="1"/>
  <c r="H69" i="41"/>
  <c r="H7" s="1"/>
  <c r="K12" i="45" s="1"/>
  <c r="K97" s="1"/>
  <c r="H68" i="41"/>
  <c r="H6" s="1"/>
  <c r="K11" i="45" s="1"/>
  <c r="H5" i="41"/>
  <c r="K10" i="45" s="1"/>
  <c r="K45" s="1"/>
  <c r="K27" i="41"/>
  <c r="K26"/>
  <c r="K24"/>
  <c r="I68"/>
  <c r="I6" s="1"/>
  <c r="L11" i="45" s="1"/>
  <c r="I5" i="41"/>
  <c r="L10" i="45" s="1"/>
  <c r="L45" s="1"/>
  <c r="I69" i="41"/>
  <c r="I7" s="1"/>
  <c r="L12" i="45" s="1"/>
  <c r="L97" s="1"/>
  <c r="I75" i="41"/>
  <c r="I12" s="1"/>
  <c r="L16" i="45" s="1"/>
  <c r="I11" i="41"/>
  <c r="L15" i="45" s="1"/>
  <c r="I76" i="41"/>
  <c r="I13" s="1"/>
  <c r="L17" i="45" s="1"/>
  <c r="L103" s="1"/>
  <c r="L106" s="1"/>
  <c r="T27" i="41"/>
  <c r="T26"/>
  <c r="T24"/>
  <c r="M27"/>
  <c r="M26"/>
  <c r="S76"/>
  <c r="S13" s="1"/>
  <c r="V17" i="45" s="1"/>
  <c r="V103" s="1"/>
  <c r="V106" s="1"/>
  <c r="S75" i="41"/>
  <c r="S12" s="1"/>
  <c r="V16" i="45" s="1"/>
  <c r="S11" i="41"/>
  <c r="V15" i="45" s="1"/>
  <c r="Z27" i="41"/>
  <c r="Z26"/>
  <c r="Z24"/>
  <c r="G76"/>
  <c r="G13" s="1"/>
  <c r="J17" i="45" s="1"/>
  <c r="J103" s="1"/>
  <c r="J106" s="1"/>
  <c r="G75" i="41"/>
  <c r="G12" s="1"/>
  <c r="J16" i="45" s="1"/>
  <c r="G11" i="41"/>
  <c r="J15" i="45" s="1"/>
  <c r="Q27" i="41"/>
  <c r="Q26"/>
  <c r="Q24"/>
  <c r="O27"/>
  <c r="O26"/>
  <c r="O24"/>
  <c r="N68"/>
  <c r="N6" s="1"/>
  <c r="Q11" i="45" s="1"/>
  <c r="N5" i="41"/>
  <c r="Q10" i="45" s="1"/>
  <c r="Q45" s="1"/>
  <c r="N69" i="41"/>
  <c r="N7" s="1"/>
  <c r="Q12" i="45" s="1"/>
  <c r="Q97" s="1"/>
  <c r="V75" i="41"/>
  <c r="V12" s="1"/>
  <c r="Y16" i="45" s="1"/>
  <c r="V11" i="41"/>
  <c r="Y15" i="45" s="1"/>
  <c r="V76" i="41"/>
  <c r="V13" s="1"/>
  <c r="Y17" i="45" s="1"/>
  <c r="Y103" s="1"/>
  <c r="Y106" s="1"/>
  <c r="X69" i="41"/>
  <c r="X7" s="1"/>
  <c r="AA12" i="45" s="1"/>
  <c r="AA97" s="1"/>
  <c r="X68" i="41"/>
  <c r="X6" s="1"/>
  <c r="AA11" i="45" s="1"/>
  <c r="X5" i="41"/>
  <c r="AA10" i="45" s="1"/>
  <c r="AA45" s="1"/>
  <c r="F75" i="41"/>
  <c r="F12" s="1"/>
  <c r="I16" i="45" s="1"/>
  <c r="F11" i="41"/>
  <c r="I15" i="45" s="1"/>
  <c r="F76" i="41"/>
  <c r="F13" s="1"/>
  <c r="I17" i="45" s="1"/>
  <c r="I103" s="1"/>
  <c r="I106" s="1"/>
  <c r="Y68" i="41"/>
  <c r="Y6" s="1"/>
  <c r="AB11" i="45" s="1"/>
  <c r="Y5" i="41"/>
  <c r="AB10" i="45" s="1"/>
  <c r="AB45" s="1"/>
  <c r="Y69" i="41"/>
  <c r="Y7" s="1"/>
  <c r="AB12" i="45" s="1"/>
  <c r="AB97" s="1"/>
  <c r="G94" i="32"/>
  <c r="G21" s="1"/>
  <c r="J26" i="35" s="1"/>
  <c r="G93" i="32"/>
  <c r="G20" s="1"/>
  <c r="J25" i="35" s="1"/>
  <c r="G92" i="32"/>
  <c r="G19" s="1"/>
  <c r="J24" i="35" s="1"/>
  <c r="G91" i="32"/>
  <c r="G18" s="1"/>
  <c r="J23" i="35" s="1"/>
  <c r="G90" i="32"/>
  <c r="G17" s="1"/>
  <c r="J22" i="35" s="1"/>
  <c r="G89" i="32"/>
  <c r="G16" s="1"/>
  <c r="J21" i="35" s="1"/>
  <c r="G88" i="32"/>
  <c r="G15" s="1"/>
  <c r="J20" i="35" s="1"/>
  <c r="A64" i="32"/>
  <c r="H85"/>
  <c r="H86" s="1"/>
  <c r="G20" i="47" l="1"/>
  <c r="D25" i="43"/>
  <c r="G21" i="47" s="1"/>
  <c r="F5" i="43"/>
  <c r="I10" i="47" s="1"/>
  <c r="I45" s="1"/>
  <c r="F69" i="43"/>
  <c r="F7" s="1"/>
  <c r="I12" i="47" s="1"/>
  <c r="I97" s="1"/>
  <c r="I100" s="1"/>
  <c r="F68" i="43"/>
  <c r="F6" s="1"/>
  <c r="L24" i="41"/>
  <c r="L25" s="1"/>
  <c r="O21" i="45" s="1"/>
  <c r="W19" i="41"/>
  <c r="Z22" i="45"/>
  <c r="Z19" i="41"/>
  <c r="AC22" i="45"/>
  <c r="L71"/>
  <c r="S74"/>
  <c r="AA71"/>
  <c r="Q74"/>
  <c r="V47"/>
  <c r="S47"/>
  <c r="AB100"/>
  <c r="I71"/>
  <c r="AA100"/>
  <c r="Q100"/>
  <c r="O19" i="41"/>
  <c r="R22" i="45"/>
  <c r="AC20"/>
  <c r="Z25" i="41"/>
  <c r="AC21" i="45" s="1"/>
  <c r="V74"/>
  <c r="S71"/>
  <c r="I47"/>
  <c r="Y100"/>
  <c r="Q71"/>
  <c r="H74"/>
  <c r="AD16"/>
  <c r="L19" i="41"/>
  <c r="O22" i="45"/>
  <c r="M71"/>
  <c r="AB74"/>
  <c r="O74"/>
  <c r="Z90"/>
  <c r="Z91" s="1"/>
  <c r="U63"/>
  <c r="U64" s="1"/>
  <c r="P90"/>
  <c r="P91" s="1"/>
  <c r="I74"/>
  <c r="M74"/>
  <c r="Y74"/>
  <c r="M19" i="41"/>
  <c r="P22" i="45"/>
  <c r="L100"/>
  <c r="M100"/>
  <c r="AD15"/>
  <c r="H71"/>
  <c r="R19" i="41"/>
  <c r="U22" i="45"/>
  <c r="O20"/>
  <c r="K106"/>
  <c r="AB71"/>
  <c r="P63"/>
  <c r="P64" s="1"/>
  <c r="X90"/>
  <c r="X91" s="1"/>
  <c r="R90"/>
  <c r="R91" s="1"/>
  <c r="AC63"/>
  <c r="AC64" s="1"/>
  <c r="N63"/>
  <c r="N64" s="1"/>
  <c r="X63"/>
  <c r="X64" s="1"/>
  <c r="G205"/>
  <c r="G121"/>
  <c r="G212" s="1"/>
  <c r="AD119"/>
  <c r="W20"/>
  <c r="T25" i="41"/>
  <c r="W21" i="45" s="1"/>
  <c r="L47"/>
  <c r="H97"/>
  <c r="AD12"/>
  <c r="P100"/>
  <c r="AA47"/>
  <c r="R20"/>
  <c r="O25" i="41"/>
  <c r="R21" i="45" s="1"/>
  <c r="Q19" i="41"/>
  <c r="T22" i="45"/>
  <c r="V71"/>
  <c r="K19" i="41"/>
  <c r="N22" i="45"/>
  <c r="K100"/>
  <c r="H47"/>
  <c r="J100"/>
  <c r="U19" i="41"/>
  <c r="X22" i="45"/>
  <c r="W24" i="41"/>
  <c r="Z11" i="45"/>
  <c r="AB47"/>
  <c r="Y71"/>
  <c r="Q47"/>
  <c r="T20"/>
  <c r="Q25" i="41"/>
  <c r="T21" i="45" s="1"/>
  <c r="J74"/>
  <c r="T19" i="41"/>
  <c r="W22" i="45"/>
  <c r="L74"/>
  <c r="K25" i="41"/>
  <c r="N21" i="45" s="1"/>
  <c r="N20"/>
  <c r="K47"/>
  <c r="I100"/>
  <c r="AA74"/>
  <c r="Y47"/>
  <c r="H103"/>
  <c r="AD17"/>
  <c r="H45"/>
  <c r="AD10"/>
  <c r="U20"/>
  <c r="R25" i="41"/>
  <c r="U21" i="45" s="1"/>
  <c r="J47"/>
  <c r="V100"/>
  <c r="X20"/>
  <c r="U25" i="41"/>
  <c r="X21" i="45" s="1"/>
  <c r="K74"/>
  <c r="S100"/>
  <c r="Z71"/>
  <c r="U90"/>
  <c r="U91" s="1"/>
  <c r="R63"/>
  <c r="R64" s="1"/>
  <c r="W63"/>
  <c r="W64" s="1"/>
  <c r="T90"/>
  <c r="T91" s="1"/>
  <c r="M24" i="41"/>
  <c r="J71" i="45"/>
  <c r="M47"/>
  <c r="K71"/>
  <c r="O63"/>
  <c r="O64" s="1"/>
  <c r="T63"/>
  <c r="T64" s="1"/>
  <c r="AC90"/>
  <c r="AC91" s="1"/>
  <c r="W90"/>
  <c r="W91" s="1"/>
  <c r="N90"/>
  <c r="N91" s="1"/>
  <c r="G47" i="47"/>
  <c r="G23"/>
  <c r="G135" s="1"/>
  <c r="D28" i="43"/>
  <c r="G24" i="47" s="1"/>
  <c r="G124" s="1"/>
  <c r="G125" s="1"/>
  <c r="G22"/>
  <c r="D19" i="43"/>
  <c r="G29" i="47" s="1"/>
  <c r="G201"/>
  <c r="AD120"/>
  <c r="J105" i="46"/>
  <c r="AD11"/>
  <c r="R105"/>
  <c r="L71"/>
  <c r="O99"/>
  <c r="R71"/>
  <c r="AB47"/>
  <c r="K71"/>
  <c r="AC71"/>
  <c r="S47"/>
  <c r="X47"/>
  <c r="J71"/>
  <c r="V73"/>
  <c r="K47"/>
  <c r="T47"/>
  <c r="S71"/>
  <c r="P73"/>
  <c r="AA73"/>
  <c r="R73"/>
  <c r="Z71"/>
  <c r="J99"/>
  <c r="AB71"/>
  <c r="AB99"/>
  <c r="V99"/>
  <c r="K73"/>
  <c r="AC73"/>
  <c r="X71"/>
  <c r="X99"/>
  <c r="AA99"/>
  <c r="U47"/>
  <c r="R99"/>
  <c r="J73"/>
  <c r="Y47"/>
  <c r="AD102"/>
  <c r="N63"/>
  <c r="N64" s="1"/>
  <c r="V105"/>
  <c r="Q105"/>
  <c r="X105"/>
  <c r="O105"/>
  <c r="AD45"/>
  <c r="Q73"/>
  <c r="O73"/>
  <c r="Z47"/>
  <c r="N22"/>
  <c r="L73"/>
  <c r="T71"/>
  <c r="T99"/>
  <c r="S73"/>
  <c r="P47"/>
  <c r="O47"/>
  <c r="M47"/>
  <c r="U71"/>
  <c r="Z73"/>
  <c r="Y71"/>
  <c r="Q47"/>
  <c r="S99"/>
  <c r="U99"/>
  <c r="Y99"/>
  <c r="I22"/>
  <c r="W99"/>
  <c r="N89"/>
  <c r="N90" s="1"/>
  <c r="I63"/>
  <c r="I64" s="1"/>
  <c r="M105"/>
  <c r="AC105"/>
  <c r="T105"/>
  <c r="K105"/>
  <c r="AA105"/>
  <c r="AD10"/>
  <c r="AD17"/>
  <c r="Z99"/>
  <c r="AC99"/>
  <c r="AA71"/>
  <c r="M73"/>
  <c r="N21"/>
  <c r="N20"/>
  <c r="K99"/>
  <c r="AC47"/>
  <c r="Q71"/>
  <c r="P71"/>
  <c r="P99"/>
  <c r="M99"/>
  <c r="U73"/>
  <c r="J47"/>
  <c r="Y73"/>
  <c r="AB73"/>
  <c r="V47"/>
  <c r="W71"/>
  <c r="Q99"/>
  <c r="X73"/>
  <c r="AA47"/>
  <c r="O71"/>
  <c r="M71"/>
  <c r="R47"/>
  <c r="H22"/>
  <c r="I21"/>
  <c r="I20"/>
  <c r="L47"/>
  <c r="AD96"/>
  <c r="H99"/>
  <c r="H89"/>
  <c r="Z105"/>
  <c r="Y105"/>
  <c r="P105"/>
  <c r="W105"/>
  <c r="V71"/>
  <c r="T73"/>
  <c r="W73"/>
  <c r="H21"/>
  <c r="H20"/>
  <c r="W47"/>
  <c r="L99"/>
  <c r="I89"/>
  <c r="I90" s="1"/>
  <c r="I206" s="1"/>
  <c r="H63"/>
  <c r="U105"/>
  <c r="L105"/>
  <c r="AB105"/>
  <c r="S105"/>
  <c r="AD12"/>
  <c r="AD15"/>
  <c r="AD16"/>
  <c r="Y97" i="47"/>
  <c r="Y100" s="1"/>
  <c r="W71"/>
  <c r="Z97"/>
  <c r="Q71"/>
  <c r="X71"/>
  <c r="X97"/>
  <c r="X100" s="1"/>
  <c r="W97"/>
  <c r="Z71"/>
  <c r="J97"/>
  <c r="T71"/>
  <c r="T97"/>
  <c r="T100" s="1"/>
  <c r="Y71"/>
  <c r="Q97"/>
  <c r="AA97"/>
  <c r="U97"/>
  <c r="U100" s="1"/>
  <c r="R71"/>
  <c r="M71"/>
  <c r="AC97"/>
  <c r="U71"/>
  <c r="P71"/>
  <c r="P97"/>
  <c r="P100" s="1"/>
  <c r="K97"/>
  <c r="K100" s="1"/>
  <c r="AC71"/>
  <c r="J71"/>
  <c r="S71"/>
  <c r="V71"/>
  <c r="M97"/>
  <c r="M100" s="1"/>
  <c r="R97"/>
  <c r="AB71"/>
  <c r="AB97"/>
  <c r="V97"/>
  <c r="V100" s="1"/>
  <c r="O71"/>
  <c r="K71"/>
  <c r="AA71"/>
  <c r="O97"/>
  <c r="O100" s="1"/>
  <c r="H71"/>
  <c r="L71"/>
  <c r="L97"/>
  <c r="L100" s="1"/>
  <c r="S97"/>
  <c r="S100" s="1"/>
  <c r="J243"/>
  <c r="J242"/>
  <c r="J241"/>
  <c r="K191"/>
  <c r="J242" i="46"/>
  <c r="J241"/>
  <c r="J243"/>
  <c r="K190"/>
  <c r="L247" i="45"/>
  <c r="L246"/>
  <c r="L245"/>
  <c r="T28" i="41"/>
  <c r="W24" i="45" s="1"/>
  <c r="W123" s="1"/>
  <c r="W124" s="1"/>
  <c r="W23"/>
  <c r="W134" s="1"/>
  <c r="W140" s="1"/>
  <c r="H24" i="46"/>
  <c r="H23"/>
  <c r="H133" s="1"/>
  <c r="H139" s="1"/>
  <c r="F231" i="45"/>
  <c r="F252"/>
  <c r="Z28" i="41"/>
  <c r="AC24" i="45" s="1"/>
  <c r="AC123" s="1"/>
  <c r="AC124" s="1"/>
  <c r="AC23"/>
  <c r="AC134" s="1"/>
  <c r="AC140" s="1"/>
  <c r="O28" i="41"/>
  <c r="R24" i="45" s="1"/>
  <c r="R123" s="1"/>
  <c r="R124" s="1"/>
  <c r="R23"/>
  <c r="R134" s="1"/>
  <c r="R140" s="1"/>
  <c r="W28" i="41"/>
  <c r="Z24" i="45" s="1"/>
  <c r="Z123" s="1"/>
  <c r="Z124" s="1"/>
  <c r="Z23"/>
  <c r="Z134" s="1"/>
  <c r="Z140" s="1"/>
  <c r="L28" i="41"/>
  <c r="O24" i="45" s="1"/>
  <c r="O123" s="1"/>
  <c r="O124" s="1"/>
  <c r="O23"/>
  <c r="O134" s="1"/>
  <c r="O140" s="1"/>
  <c r="Q28" i="41"/>
  <c r="T24" i="45" s="1"/>
  <c r="T123" s="1"/>
  <c r="T124" s="1"/>
  <c r="T23"/>
  <c r="T134" s="1"/>
  <c r="T140" s="1"/>
  <c r="M28" i="41"/>
  <c r="P24" i="45" s="1"/>
  <c r="P123" s="1"/>
  <c r="P124" s="1"/>
  <c r="P23"/>
  <c r="P134" s="1"/>
  <c r="P140" s="1"/>
  <c r="K28" i="41"/>
  <c r="N24" i="45" s="1"/>
  <c r="N123" s="1"/>
  <c r="N124" s="1"/>
  <c r="N23"/>
  <c r="N134" s="1"/>
  <c r="N140" s="1"/>
  <c r="R28" i="41"/>
  <c r="U24" i="45" s="1"/>
  <c r="U123" s="1"/>
  <c r="U124" s="1"/>
  <c r="U23"/>
  <c r="U134" s="1"/>
  <c r="U140" s="1"/>
  <c r="U28" i="41"/>
  <c r="X24" i="45" s="1"/>
  <c r="X123" s="1"/>
  <c r="X124" s="1"/>
  <c r="X23"/>
  <c r="X134" s="1"/>
  <c r="X140" s="1"/>
  <c r="N24" i="46"/>
  <c r="N23"/>
  <c r="N133" s="1"/>
  <c r="N139" s="1"/>
  <c r="I24"/>
  <c r="I23"/>
  <c r="I133" s="1"/>
  <c r="I139" s="1"/>
  <c r="F227" i="47"/>
  <c r="F248"/>
  <c r="F224" i="44"/>
  <c r="F245"/>
  <c r="J238"/>
  <c r="J239"/>
  <c r="J240"/>
  <c r="K185"/>
  <c r="J217"/>
  <c r="J218"/>
  <c r="J219"/>
  <c r="K183"/>
  <c r="J225" i="45"/>
  <c r="J224"/>
  <c r="J226"/>
  <c r="K189"/>
  <c r="K222" i="46"/>
  <c r="K220"/>
  <c r="K221"/>
  <c r="O45" i="47"/>
  <c r="L45"/>
  <c r="S45"/>
  <c r="Z45"/>
  <c r="X45"/>
  <c r="W45"/>
  <c r="J45"/>
  <c r="T45"/>
  <c r="AA45"/>
  <c r="Y45"/>
  <c r="P45"/>
  <c r="K45"/>
  <c r="Q45"/>
  <c r="U45"/>
  <c r="AC45"/>
  <c r="R45"/>
  <c r="AB45"/>
  <c r="V45"/>
  <c r="M45"/>
  <c r="J222"/>
  <c r="J221"/>
  <c r="J220"/>
  <c r="K189"/>
  <c r="AC47"/>
  <c r="R47"/>
  <c r="P47"/>
  <c r="H97"/>
  <c r="W100"/>
  <c r="J100"/>
  <c r="V47"/>
  <c r="Y47"/>
  <c r="O47"/>
  <c r="M47"/>
  <c r="S47"/>
  <c r="AB47"/>
  <c r="N63"/>
  <c r="N64" s="1"/>
  <c r="Z47"/>
  <c r="R100"/>
  <c r="W47"/>
  <c r="L47"/>
  <c r="J47"/>
  <c r="AA47"/>
  <c r="X47"/>
  <c r="H47"/>
  <c r="K47"/>
  <c r="T47"/>
  <c r="Q47"/>
  <c r="U47"/>
  <c r="W74"/>
  <c r="Q74"/>
  <c r="H74"/>
  <c r="AD16"/>
  <c r="L74"/>
  <c r="Z74"/>
  <c r="Y74"/>
  <c r="K25" i="43"/>
  <c r="N21" i="47" s="1"/>
  <c r="N20"/>
  <c r="R74"/>
  <c r="I90"/>
  <c r="I91" s="1"/>
  <c r="M74"/>
  <c r="X74"/>
  <c r="U74"/>
  <c r="H103"/>
  <c r="AD17"/>
  <c r="T74"/>
  <c r="AC74"/>
  <c r="N90"/>
  <c r="N91" s="1"/>
  <c r="M106"/>
  <c r="J74"/>
  <c r="S74"/>
  <c r="V74"/>
  <c r="P74"/>
  <c r="AC106"/>
  <c r="K28" i="43"/>
  <c r="N24" i="47" s="1"/>
  <c r="N124" s="1"/>
  <c r="N125" s="1"/>
  <c r="N23"/>
  <c r="N135" s="1"/>
  <c r="N141" s="1"/>
  <c r="O74"/>
  <c r="AD15"/>
  <c r="K74"/>
  <c r="AA74"/>
  <c r="AB74"/>
  <c r="K19" i="43"/>
  <c r="N22" i="47"/>
  <c r="F206" i="46"/>
  <c r="L188"/>
  <c r="M191" i="45"/>
  <c r="Z27" i="43"/>
  <c r="Z26"/>
  <c r="Z24"/>
  <c r="O27"/>
  <c r="O26"/>
  <c r="O24"/>
  <c r="M27"/>
  <c r="M26"/>
  <c r="M24"/>
  <c r="P27"/>
  <c r="P26"/>
  <c r="P24"/>
  <c r="Y27"/>
  <c r="Y26"/>
  <c r="Y24"/>
  <c r="L27"/>
  <c r="L26"/>
  <c r="L24"/>
  <c r="J27"/>
  <c r="J26"/>
  <c r="J24"/>
  <c r="T27"/>
  <c r="T26"/>
  <c r="T24"/>
  <c r="I27"/>
  <c r="I26"/>
  <c r="I24"/>
  <c r="G27"/>
  <c r="G26"/>
  <c r="G24"/>
  <c r="X27"/>
  <c r="X26"/>
  <c r="X24"/>
  <c r="W27"/>
  <c r="W26"/>
  <c r="W24"/>
  <c r="E27"/>
  <c r="E26"/>
  <c r="E24"/>
  <c r="H27"/>
  <c r="H26"/>
  <c r="H24"/>
  <c r="Q27"/>
  <c r="Q26"/>
  <c r="Q24"/>
  <c r="N27"/>
  <c r="N26"/>
  <c r="N24"/>
  <c r="R27"/>
  <c r="R26"/>
  <c r="R24"/>
  <c r="V27"/>
  <c r="V26"/>
  <c r="V24"/>
  <c r="U27"/>
  <c r="U26"/>
  <c r="U24"/>
  <c r="S27"/>
  <c r="S26"/>
  <c r="S24"/>
  <c r="F27" i="41"/>
  <c r="F26"/>
  <c r="F24"/>
  <c r="X27"/>
  <c r="X26"/>
  <c r="X24"/>
  <c r="E27"/>
  <c r="E26"/>
  <c r="E24"/>
  <c r="G27"/>
  <c r="G26"/>
  <c r="G24"/>
  <c r="Y27"/>
  <c r="Y26"/>
  <c r="Y24"/>
  <c r="N27"/>
  <c r="N26"/>
  <c r="N24"/>
  <c r="H27"/>
  <c r="H26"/>
  <c r="H24"/>
  <c r="V27"/>
  <c r="V26"/>
  <c r="V24"/>
  <c r="S27"/>
  <c r="S26"/>
  <c r="S24"/>
  <c r="P27"/>
  <c r="P26"/>
  <c r="P24"/>
  <c r="I27"/>
  <c r="I26"/>
  <c r="I24"/>
  <c r="J27"/>
  <c r="J26"/>
  <c r="J24"/>
  <c r="H94" i="32"/>
  <c r="H21" s="1"/>
  <c r="K26" i="35" s="1"/>
  <c r="H93" i="32"/>
  <c r="H20" s="1"/>
  <c r="K25" i="35" s="1"/>
  <c r="K107" s="1"/>
  <c r="H92" i="32"/>
  <c r="H19" s="1"/>
  <c r="K24" i="35" s="1"/>
  <c r="K159" s="1"/>
  <c r="H91" i="32"/>
  <c r="H18" s="1"/>
  <c r="K23" i="35" s="1"/>
  <c r="H90" i="32"/>
  <c r="H17" s="1"/>
  <c r="K22" i="35" s="1"/>
  <c r="K105" s="1"/>
  <c r="H89" i="32"/>
  <c r="H16" s="1"/>
  <c r="K21" i="35" s="1"/>
  <c r="K104" s="1"/>
  <c r="H88" i="32"/>
  <c r="H15" s="1"/>
  <c r="K20" i="35" s="1"/>
  <c r="K103" s="1"/>
  <c r="I85" i="32"/>
  <c r="I86" s="1"/>
  <c r="I44"/>
  <c r="I45" s="1"/>
  <c r="H44"/>
  <c r="H45" s="1"/>
  <c r="E44"/>
  <c r="E45" s="1"/>
  <c r="D44"/>
  <c r="D45" s="1"/>
  <c r="U24"/>
  <c r="Y24"/>
  <c r="X24"/>
  <c r="W24"/>
  <c r="V24"/>
  <c r="T24"/>
  <c r="S24"/>
  <c r="R24"/>
  <c r="Q24"/>
  <c r="P24"/>
  <c r="O24"/>
  <c r="N24"/>
  <c r="M24"/>
  <c r="L24"/>
  <c r="K24"/>
  <c r="J24"/>
  <c r="I24"/>
  <c r="H24"/>
  <c r="G24"/>
  <c r="F24"/>
  <c r="E24"/>
  <c r="D24"/>
  <c r="C24"/>
  <c r="D25" s="1"/>
  <c r="G37" i="35" s="1"/>
  <c r="F37"/>
  <c r="E32" i="32"/>
  <c r="H30" i="35" s="1"/>
  <c r="D32" i="32"/>
  <c r="G30" i="35" s="1"/>
  <c r="C32" i="32"/>
  <c r="F30" i="35" s="1"/>
  <c r="J159"/>
  <c r="J106"/>
  <c r="I106"/>
  <c r="J105"/>
  <c r="I105"/>
  <c r="J104"/>
  <c r="I104"/>
  <c r="J103"/>
  <c r="G32" i="32"/>
  <c r="J30" i="35" s="1"/>
  <c r="F32" i="32"/>
  <c r="I30" i="35" s="1"/>
  <c r="F253"/>
  <c r="F251"/>
  <c r="D244"/>
  <c r="AD237"/>
  <c r="D217"/>
  <c r="D215"/>
  <c r="D206"/>
  <c r="G181"/>
  <c r="G265" s="1"/>
  <c r="H164"/>
  <c r="G164"/>
  <c r="F164"/>
  <c r="H159"/>
  <c r="G159"/>
  <c r="F159"/>
  <c r="G154"/>
  <c r="F154"/>
  <c r="G148"/>
  <c r="F148"/>
  <c r="D133"/>
  <c r="D132"/>
  <c r="D127"/>
  <c r="D124"/>
  <c r="D117"/>
  <c r="H107"/>
  <c r="G107"/>
  <c r="F107"/>
  <c r="H106"/>
  <c r="G106"/>
  <c r="F106"/>
  <c r="H105"/>
  <c r="G105"/>
  <c r="F105"/>
  <c r="H104"/>
  <c r="G104"/>
  <c r="F104"/>
  <c r="H103"/>
  <c r="G103"/>
  <c r="F103"/>
  <c r="D90"/>
  <c r="D89"/>
  <c r="D88"/>
  <c r="D87"/>
  <c r="G83"/>
  <c r="F83"/>
  <c r="D79"/>
  <c r="D70"/>
  <c r="D97" s="1"/>
  <c r="D131" s="1"/>
  <c r="D69"/>
  <c r="D96" s="1"/>
  <c r="D116"/>
  <c r="G56"/>
  <c r="F56"/>
  <c r="K164"/>
  <c r="J164"/>
  <c r="I164"/>
  <c r="J107"/>
  <c r="I107"/>
  <c r="K106"/>
  <c r="D120" i="34"/>
  <c r="D118"/>
  <c r="AF287" i="29"/>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C41" i="9"/>
  <c r="AD6" i="29"/>
  <c r="AD5"/>
  <c r="K306"/>
  <c r="J306"/>
  <c r="I306"/>
  <c r="H306"/>
  <c r="G306"/>
  <c r="F306"/>
  <c r="E308"/>
  <c r="I10"/>
  <c r="H10"/>
  <c r="G10"/>
  <c r="F10"/>
  <c r="B112" i="24" s="1"/>
  <c r="G102" i="31"/>
  <c r="G110" s="1"/>
  <c r="H101"/>
  <c r="H102" s="1"/>
  <c r="T210" i="45" l="1"/>
  <c r="AD10" i="47"/>
  <c r="AD12"/>
  <c r="I11"/>
  <c r="F24" i="43"/>
  <c r="F26"/>
  <c r="F27"/>
  <c r="G141" i="47"/>
  <c r="W210" i="45"/>
  <c r="P210"/>
  <c r="Z49" i="32"/>
  <c r="V49"/>
  <c r="Q49"/>
  <c r="M49"/>
  <c r="W49"/>
  <c r="R49"/>
  <c r="N49"/>
  <c r="X49"/>
  <c r="S49"/>
  <c r="O49"/>
  <c r="K49"/>
  <c r="K61" s="1"/>
  <c r="Y49"/>
  <c r="U49"/>
  <c r="P49"/>
  <c r="L49"/>
  <c r="H49"/>
  <c r="D49"/>
  <c r="I49"/>
  <c r="E49"/>
  <c r="F49"/>
  <c r="G49"/>
  <c r="C49"/>
  <c r="B69" s="1"/>
  <c r="H32"/>
  <c r="K30" i="35" s="1"/>
  <c r="N206" i="46"/>
  <c r="R210" i="45"/>
  <c r="AB100" i="47"/>
  <c r="Z100"/>
  <c r="Q100"/>
  <c r="AC100"/>
  <c r="AA100"/>
  <c r="AD105" i="46"/>
  <c r="P25" i="41"/>
  <c r="S21" i="45" s="1"/>
  <c r="S20"/>
  <c r="Y19" i="41"/>
  <c r="AB22" i="45"/>
  <c r="X25" i="41"/>
  <c r="AA21" i="45" s="1"/>
  <c r="AA20"/>
  <c r="J19" i="41"/>
  <c r="M22" i="45"/>
  <c r="V20"/>
  <c r="S25" i="41"/>
  <c r="V21" i="45" s="1"/>
  <c r="V19" i="41"/>
  <c r="Y22" i="45"/>
  <c r="AB20"/>
  <c r="Y25" i="41"/>
  <c r="AB21" i="45" s="1"/>
  <c r="G19" i="41"/>
  <c r="J22" i="45"/>
  <c r="I20"/>
  <c r="F25" i="41"/>
  <c r="I21" i="45" s="1"/>
  <c r="M63"/>
  <c r="M64" s="1"/>
  <c r="J63"/>
  <c r="J64" s="1"/>
  <c r="AD45"/>
  <c r="AA90"/>
  <c r="AA91" s="1"/>
  <c r="W29"/>
  <c r="T20" i="41"/>
  <c r="W30" i="45" s="1"/>
  <c r="W115" s="1"/>
  <c r="Q63"/>
  <c r="Q64" s="1"/>
  <c r="W25" i="41"/>
  <c r="Z21" i="45" s="1"/>
  <c r="Z20"/>
  <c r="H63"/>
  <c r="N29"/>
  <c r="K20" i="41"/>
  <c r="N30" i="45" s="1"/>
  <c r="N115" s="1"/>
  <c r="U29"/>
  <c r="R20" i="41"/>
  <c r="U30" i="45" s="1"/>
  <c r="U115" s="1"/>
  <c r="M90"/>
  <c r="M91" s="1"/>
  <c r="V63"/>
  <c r="V64" s="1"/>
  <c r="S90"/>
  <c r="S91" s="1"/>
  <c r="Z29"/>
  <c r="W20" i="41"/>
  <c r="Z30" i="45" s="1"/>
  <c r="Z115" s="1"/>
  <c r="X210"/>
  <c r="M20"/>
  <c r="J25" i="41"/>
  <c r="M21" i="45" s="1"/>
  <c r="I19" i="41"/>
  <c r="L22" i="45"/>
  <c r="Y20"/>
  <c r="V25" i="41"/>
  <c r="Y21" i="45" s="1"/>
  <c r="H19" i="41"/>
  <c r="K22" i="45"/>
  <c r="J20"/>
  <c r="G25" i="41"/>
  <c r="J21" i="45" s="1"/>
  <c r="E19" i="41"/>
  <c r="H22" i="45"/>
  <c r="J90"/>
  <c r="J91" s="1"/>
  <c r="Z47"/>
  <c r="G247"/>
  <c r="G226"/>
  <c r="D205"/>
  <c r="Y90"/>
  <c r="Y91" s="1"/>
  <c r="O90"/>
  <c r="O91" s="1"/>
  <c r="O29"/>
  <c r="L20" i="41"/>
  <c r="O30" i="45" s="1"/>
  <c r="O115" s="1"/>
  <c r="AD74"/>
  <c r="H90"/>
  <c r="I63"/>
  <c r="I64" s="1"/>
  <c r="Q90"/>
  <c r="Q91" s="1"/>
  <c r="AD71"/>
  <c r="L20"/>
  <c r="I25" i="41"/>
  <c r="L21" i="45" s="1"/>
  <c r="P19" i="41"/>
  <c r="S22" i="45"/>
  <c r="H25" i="41"/>
  <c r="K21" i="45" s="1"/>
  <c r="K20"/>
  <c r="N19" i="41"/>
  <c r="Q22" i="45"/>
  <c r="H20"/>
  <c r="E25" i="41"/>
  <c r="H21" i="45" s="1"/>
  <c r="X19" i="41"/>
  <c r="AA22" i="45"/>
  <c r="AD103"/>
  <c r="H106"/>
  <c r="AD106" s="1"/>
  <c r="L90"/>
  <c r="L91" s="1"/>
  <c r="AB63"/>
  <c r="AB64" s="1"/>
  <c r="X29"/>
  <c r="U20" i="41"/>
  <c r="X30" i="45" s="1"/>
  <c r="X115" s="1"/>
  <c r="AA63"/>
  <c r="AA64" s="1"/>
  <c r="AD97"/>
  <c r="H100"/>
  <c r="AD100" s="1"/>
  <c r="G254"/>
  <c r="G233"/>
  <c r="P29"/>
  <c r="M20" i="41"/>
  <c r="P30" i="45" s="1"/>
  <c r="P115" s="1"/>
  <c r="I90"/>
  <c r="I91" s="1"/>
  <c r="AB90"/>
  <c r="AB91" s="1"/>
  <c r="AC29"/>
  <c r="Z20" i="41"/>
  <c r="AC30" i="45" s="1"/>
  <c r="AC115" s="1"/>
  <c r="N210"/>
  <c r="U210"/>
  <c r="S19" i="41"/>
  <c r="V22" i="45"/>
  <c r="Q20"/>
  <c r="N25" i="41"/>
  <c r="Q21" i="45" s="1"/>
  <c r="I22"/>
  <c r="F19" i="41"/>
  <c r="P20" i="45"/>
  <c r="M25" i="41"/>
  <c r="P21" i="45" s="1"/>
  <c r="K90"/>
  <c r="K91" s="1"/>
  <c r="Y63"/>
  <c r="Y64" s="1"/>
  <c r="K63"/>
  <c r="K64" s="1"/>
  <c r="T29"/>
  <c r="Q20" i="41"/>
  <c r="T30" i="45" s="1"/>
  <c r="T115" s="1"/>
  <c r="L63"/>
  <c r="L64" s="1"/>
  <c r="V90"/>
  <c r="V91" s="1"/>
  <c r="R29"/>
  <c r="O20" i="41"/>
  <c r="R30" i="45" s="1"/>
  <c r="R115" s="1"/>
  <c r="S63"/>
  <c r="S64" s="1"/>
  <c r="O210"/>
  <c r="AD11"/>
  <c r="AC210"/>
  <c r="G105" i="31"/>
  <c r="G109"/>
  <c r="G104"/>
  <c r="G108"/>
  <c r="G63" i="47"/>
  <c r="G64" s="1"/>
  <c r="G206" s="1"/>
  <c r="G222"/>
  <c r="D201"/>
  <c r="G243"/>
  <c r="G113"/>
  <c r="G122" s="1"/>
  <c r="G208" s="1"/>
  <c r="AD47" i="46"/>
  <c r="AD71"/>
  <c r="W21"/>
  <c r="W20"/>
  <c r="L21"/>
  <c r="L20"/>
  <c r="R22"/>
  <c r="J20"/>
  <c r="J21"/>
  <c r="AC22"/>
  <c r="O20"/>
  <c r="O21"/>
  <c r="P22"/>
  <c r="U21"/>
  <c r="U20"/>
  <c r="T22"/>
  <c r="X21"/>
  <c r="X20"/>
  <c r="S22"/>
  <c r="W89"/>
  <c r="W90" s="1"/>
  <c r="H29"/>
  <c r="H30"/>
  <c r="AA63"/>
  <c r="AA64" s="1"/>
  <c r="AB89"/>
  <c r="AB90" s="1"/>
  <c r="J63"/>
  <c r="J64" s="1"/>
  <c r="M89"/>
  <c r="M90" s="1"/>
  <c r="O63"/>
  <c r="O64" s="1"/>
  <c r="L89"/>
  <c r="L90" s="1"/>
  <c r="AC89"/>
  <c r="AC90" s="1"/>
  <c r="R89"/>
  <c r="R90" s="1"/>
  <c r="V89"/>
  <c r="V90" s="1"/>
  <c r="AD99"/>
  <c r="R21"/>
  <c r="R20"/>
  <c r="AA22"/>
  <c r="AC21"/>
  <c r="AC20"/>
  <c r="Q22"/>
  <c r="P21"/>
  <c r="P20"/>
  <c r="Z22"/>
  <c r="T21"/>
  <c r="T20"/>
  <c r="K22"/>
  <c r="S20"/>
  <c r="S21"/>
  <c r="AB22"/>
  <c r="W63"/>
  <c r="W64" s="1"/>
  <c r="T89"/>
  <c r="T90" s="1"/>
  <c r="R63"/>
  <c r="R64" s="1"/>
  <c r="X89"/>
  <c r="X90" s="1"/>
  <c r="I29"/>
  <c r="I30"/>
  <c r="Z63"/>
  <c r="Z64" s="1"/>
  <c r="O89"/>
  <c r="O90" s="1"/>
  <c r="Q89"/>
  <c r="Q90" s="1"/>
  <c r="AA89"/>
  <c r="AA90" s="1"/>
  <c r="X63"/>
  <c r="X64" s="1"/>
  <c r="S63"/>
  <c r="S64" s="1"/>
  <c r="AD73"/>
  <c r="AA20"/>
  <c r="AA21"/>
  <c r="V22"/>
  <c r="Q21"/>
  <c r="Q20"/>
  <c r="M22"/>
  <c r="Z21"/>
  <c r="Z20"/>
  <c r="Y22"/>
  <c r="K21"/>
  <c r="K20"/>
  <c r="W22"/>
  <c r="AB21"/>
  <c r="AB20"/>
  <c r="I248"/>
  <c r="I227"/>
  <c r="H90"/>
  <c r="L63"/>
  <c r="L64" s="1"/>
  <c r="AC63"/>
  <c r="AC64" s="1"/>
  <c r="S89"/>
  <c r="S90" s="1"/>
  <c r="N29"/>
  <c r="N30"/>
  <c r="Y63"/>
  <c r="Y64" s="1"/>
  <c r="U63"/>
  <c r="U64" s="1"/>
  <c r="P89"/>
  <c r="P90" s="1"/>
  <c r="T63"/>
  <c r="T64" s="1"/>
  <c r="AB63"/>
  <c r="AB64" s="1"/>
  <c r="L22"/>
  <c r="V20"/>
  <c r="V21"/>
  <c r="J22"/>
  <c r="M21"/>
  <c r="M20"/>
  <c r="O22"/>
  <c r="Y21"/>
  <c r="Y20"/>
  <c r="U22"/>
  <c r="X22"/>
  <c r="H64"/>
  <c r="V63"/>
  <c r="V64" s="1"/>
  <c r="Y89"/>
  <c r="Y90" s="1"/>
  <c r="U89"/>
  <c r="U90" s="1"/>
  <c r="Q63"/>
  <c r="Q64" s="1"/>
  <c r="Z89"/>
  <c r="Z90" s="1"/>
  <c r="M63"/>
  <c r="M64" s="1"/>
  <c r="P63"/>
  <c r="P64" s="1"/>
  <c r="J89"/>
  <c r="J90" s="1"/>
  <c r="K89"/>
  <c r="K90" s="1"/>
  <c r="K63"/>
  <c r="K64" s="1"/>
  <c r="I122"/>
  <c r="I123" s="1"/>
  <c r="N122"/>
  <c r="N123" s="1"/>
  <c r="G253" i="35"/>
  <c r="F305"/>
  <c r="F306"/>
  <c r="G251"/>
  <c r="F284"/>
  <c r="F285"/>
  <c r="K243" i="47"/>
  <c r="K242"/>
  <c r="K241"/>
  <c r="L191"/>
  <c r="K243" i="46"/>
  <c r="K242"/>
  <c r="K241"/>
  <c r="L190"/>
  <c r="M247" i="45"/>
  <c r="M246"/>
  <c r="M245"/>
  <c r="I198" i="44"/>
  <c r="V28" i="41"/>
  <c r="Y24" i="45" s="1"/>
  <c r="Y123" s="1"/>
  <c r="Y124" s="1"/>
  <c r="Y23"/>
  <c r="Y134" s="1"/>
  <c r="Y140" s="1"/>
  <c r="X24" i="46"/>
  <c r="X23"/>
  <c r="X133" s="1"/>
  <c r="X139" s="1"/>
  <c r="U112" i="45"/>
  <c r="U121" s="1"/>
  <c r="U212" s="1"/>
  <c r="D228" i="35"/>
  <c r="D221"/>
  <c r="I28" i="41"/>
  <c r="L24" i="45" s="1"/>
  <c r="L123" s="1"/>
  <c r="L124" s="1"/>
  <c r="L23"/>
  <c r="L134" s="1"/>
  <c r="L140" s="1"/>
  <c r="H28" i="41"/>
  <c r="K24" i="45" s="1"/>
  <c r="K123" s="1"/>
  <c r="K124" s="1"/>
  <c r="K23"/>
  <c r="K134" s="1"/>
  <c r="K140" s="1"/>
  <c r="E28" i="41"/>
  <c r="H24" i="45" s="1"/>
  <c r="H23"/>
  <c r="H134" s="1"/>
  <c r="R24" i="46"/>
  <c r="R23"/>
  <c r="R133" s="1"/>
  <c r="R139" s="1"/>
  <c r="AC24"/>
  <c r="AC23"/>
  <c r="AC133" s="1"/>
  <c r="AC139" s="1"/>
  <c r="P24"/>
  <c r="P23"/>
  <c r="P133" s="1"/>
  <c r="P139" s="1"/>
  <c r="T24"/>
  <c r="T23"/>
  <c r="T133" s="1"/>
  <c r="T139" s="1"/>
  <c r="S24"/>
  <c r="S23"/>
  <c r="S133" s="1"/>
  <c r="S139" s="1"/>
  <c r="O131" i="45"/>
  <c r="O112"/>
  <c r="O132"/>
  <c r="R112"/>
  <c r="R121" s="1"/>
  <c r="R212" s="1"/>
  <c r="AC133"/>
  <c r="AC139" s="1"/>
  <c r="AC132"/>
  <c r="AC112"/>
  <c r="AC121" s="1"/>
  <c r="AC212" s="1"/>
  <c r="AC131"/>
  <c r="W112"/>
  <c r="W121" s="1"/>
  <c r="W212" s="1"/>
  <c r="AD71" i="47"/>
  <c r="J28" i="41"/>
  <c r="M24" i="45" s="1"/>
  <c r="M123" s="1"/>
  <c r="M124" s="1"/>
  <c r="M23"/>
  <c r="M134" s="1"/>
  <c r="M140" s="1"/>
  <c r="P112"/>
  <c r="P28" i="41"/>
  <c r="S24" i="45" s="1"/>
  <c r="S123" s="1"/>
  <c r="S124" s="1"/>
  <c r="S23"/>
  <c r="S134" s="1"/>
  <c r="S140" s="1"/>
  <c r="N28" i="41"/>
  <c r="Q24" i="45" s="1"/>
  <c r="Q123" s="1"/>
  <c r="Q124" s="1"/>
  <c r="Q23"/>
  <c r="Q134" s="1"/>
  <c r="Q140" s="1"/>
  <c r="X28" i="41"/>
  <c r="AA24" i="45" s="1"/>
  <c r="AA123" s="1"/>
  <c r="AA124" s="1"/>
  <c r="AA23"/>
  <c r="AA134" s="1"/>
  <c r="AA140" s="1"/>
  <c r="AA24" i="46"/>
  <c r="AA23"/>
  <c r="AA133" s="1"/>
  <c r="AA139" s="1"/>
  <c r="Q24"/>
  <c r="Q23"/>
  <c r="Q133" s="1"/>
  <c r="Q139" s="1"/>
  <c r="Z24"/>
  <c r="Z23"/>
  <c r="Z133" s="1"/>
  <c r="Z139" s="1"/>
  <c r="K24"/>
  <c r="K23"/>
  <c r="K133" s="1"/>
  <c r="K139" s="1"/>
  <c r="AB24"/>
  <c r="AB23"/>
  <c r="AB133" s="1"/>
  <c r="AB139" s="1"/>
  <c r="I111"/>
  <c r="X112" i="45"/>
  <c r="N112"/>
  <c r="T112"/>
  <c r="T121" s="1"/>
  <c r="T212" s="1"/>
  <c r="H122" i="46"/>
  <c r="G28" i="41"/>
  <c r="J24" i="45" s="1"/>
  <c r="J123" s="1"/>
  <c r="J124" s="1"/>
  <c r="J23"/>
  <c r="J134" s="1"/>
  <c r="J140" s="1"/>
  <c r="L24" i="46"/>
  <c r="L23"/>
  <c r="L133" s="1"/>
  <c r="L139" s="1"/>
  <c r="J24"/>
  <c r="J23"/>
  <c r="J133" s="1"/>
  <c r="J139" s="1"/>
  <c r="O24"/>
  <c r="O23"/>
  <c r="O133" s="1"/>
  <c r="O139" s="1"/>
  <c r="U24"/>
  <c r="U23"/>
  <c r="U133" s="1"/>
  <c r="U139" s="1"/>
  <c r="N111"/>
  <c r="D230" i="35"/>
  <c r="D223"/>
  <c r="S28" i="41"/>
  <c r="V24" i="45" s="1"/>
  <c r="V123" s="1"/>
  <c r="V124" s="1"/>
  <c r="V23"/>
  <c r="V134" s="1"/>
  <c r="V140" s="1"/>
  <c r="Y28" i="41"/>
  <c r="AB24" i="45" s="1"/>
  <c r="AB123" s="1"/>
  <c r="AB124" s="1"/>
  <c r="AB23"/>
  <c r="AB134" s="1"/>
  <c r="AB140" s="1"/>
  <c r="F28" i="41"/>
  <c r="I24" i="45" s="1"/>
  <c r="I123" s="1"/>
  <c r="I124" s="1"/>
  <c r="I23"/>
  <c r="I134" s="1"/>
  <c r="I140" s="1"/>
  <c r="V24" i="46"/>
  <c r="V23"/>
  <c r="V133" s="1"/>
  <c r="V139" s="1"/>
  <c r="M24"/>
  <c r="M23"/>
  <c r="M133" s="1"/>
  <c r="M139" s="1"/>
  <c r="Y24"/>
  <c r="Y23"/>
  <c r="Y133" s="1"/>
  <c r="Y139" s="1"/>
  <c r="W24"/>
  <c r="W23"/>
  <c r="W133" s="1"/>
  <c r="W139" s="1"/>
  <c r="F227"/>
  <c r="F248"/>
  <c r="Z112" i="45"/>
  <c r="Z121" s="1"/>
  <c r="Z212" s="1"/>
  <c r="H111" i="46"/>
  <c r="AD45" i="47"/>
  <c r="K239" i="44"/>
  <c r="K240"/>
  <c r="K238"/>
  <c r="L185"/>
  <c r="K217"/>
  <c r="K219"/>
  <c r="K218"/>
  <c r="L183"/>
  <c r="K226" i="45"/>
  <c r="K225"/>
  <c r="K224"/>
  <c r="L189"/>
  <c r="L222" i="46"/>
  <c r="L220"/>
  <c r="L221"/>
  <c r="K222" i="47"/>
  <c r="K220"/>
  <c r="K221"/>
  <c r="L189"/>
  <c r="N206"/>
  <c r="U63"/>
  <c r="U64" s="1"/>
  <c r="T63"/>
  <c r="T64" s="1"/>
  <c r="J63"/>
  <c r="J64" s="1"/>
  <c r="S63"/>
  <c r="S64" s="1"/>
  <c r="P63"/>
  <c r="P64" s="1"/>
  <c r="AC63"/>
  <c r="AC64" s="1"/>
  <c r="K63"/>
  <c r="K64" s="1"/>
  <c r="L63"/>
  <c r="L64" s="1"/>
  <c r="M63"/>
  <c r="M64" s="1"/>
  <c r="Y63"/>
  <c r="Y64" s="1"/>
  <c r="V63"/>
  <c r="V64" s="1"/>
  <c r="R63"/>
  <c r="R64" s="1"/>
  <c r="X63"/>
  <c r="X64" s="1"/>
  <c r="W63"/>
  <c r="W64" s="1"/>
  <c r="O63"/>
  <c r="O64" s="1"/>
  <c r="Q63"/>
  <c r="Q64" s="1"/>
  <c r="H63"/>
  <c r="AA63"/>
  <c r="AA64" s="1"/>
  <c r="Z63"/>
  <c r="Z64" s="1"/>
  <c r="AB63"/>
  <c r="AB64" s="1"/>
  <c r="AD97"/>
  <c r="H100"/>
  <c r="Q28" i="43"/>
  <c r="T24" i="47" s="1"/>
  <c r="T124" s="1"/>
  <c r="T125" s="1"/>
  <c r="T23"/>
  <c r="T135" s="1"/>
  <c r="T141" s="1"/>
  <c r="S25" i="43"/>
  <c r="V21" i="47" s="1"/>
  <c r="V20"/>
  <c r="U19" i="43"/>
  <c r="X22" i="47"/>
  <c r="V28" i="43"/>
  <c r="Y24" i="47" s="1"/>
  <c r="Y124" s="1"/>
  <c r="Y125" s="1"/>
  <c r="Y23"/>
  <c r="Y135" s="1"/>
  <c r="Y141" s="1"/>
  <c r="N25" i="43"/>
  <c r="Q21" i="47" s="1"/>
  <c r="Q20"/>
  <c r="Q19" i="43"/>
  <c r="T22" i="47"/>
  <c r="H28" i="43"/>
  <c r="K24" i="47" s="1"/>
  <c r="K124" s="1"/>
  <c r="K125" s="1"/>
  <c r="K23"/>
  <c r="K135" s="1"/>
  <c r="K141" s="1"/>
  <c r="W25" i="43"/>
  <c r="Z21" i="47" s="1"/>
  <c r="Z20"/>
  <c r="X19" i="43"/>
  <c r="AA22" i="47"/>
  <c r="G28" i="43"/>
  <c r="J24" i="47" s="1"/>
  <c r="J124" s="1"/>
  <c r="J125" s="1"/>
  <c r="J23"/>
  <c r="J135" s="1"/>
  <c r="J141" s="1"/>
  <c r="T25" i="43"/>
  <c r="W21" i="47" s="1"/>
  <c r="W20"/>
  <c r="J19" i="43"/>
  <c r="M22" i="47"/>
  <c r="L28" i="43"/>
  <c r="O24" i="47" s="1"/>
  <c r="O124" s="1"/>
  <c r="O125" s="1"/>
  <c r="O23"/>
  <c r="O135" s="1"/>
  <c r="O141" s="1"/>
  <c r="S20"/>
  <c r="P25" i="43"/>
  <c r="S21" i="47" s="1"/>
  <c r="M19" i="43"/>
  <c r="P22" i="47"/>
  <c r="O28" i="43"/>
  <c r="R24" i="47" s="1"/>
  <c r="R124" s="1"/>
  <c r="R125" s="1"/>
  <c r="R23"/>
  <c r="R135" s="1"/>
  <c r="R141" s="1"/>
  <c r="AA90"/>
  <c r="AA91" s="1"/>
  <c r="K90"/>
  <c r="K91" s="1"/>
  <c r="R90"/>
  <c r="R91" s="1"/>
  <c r="Z90"/>
  <c r="Z91" s="1"/>
  <c r="S19" i="43"/>
  <c r="V22" i="47"/>
  <c r="U25" i="43"/>
  <c r="X21" i="47" s="1"/>
  <c r="X20"/>
  <c r="V19" i="43"/>
  <c r="Y22" i="47"/>
  <c r="R28" i="43"/>
  <c r="U24" i="47" s="1"/>
  <c r="U124" s="1"/>
  <c r="U125" s="1"/>
  <c r="U23"/>
  <c r="U135" s="1"/>
  <c r="U141" s="1"/>
  <c r="Q25" i="43"/>
  <c r="T21" i="47" s="1"/>
  <c r="T20"/>
  <c r="H19" i="43"/>
  <c r="K22" i="47"/>
  <c r="E28" i="43"/>
  <c r="H24" i="47" s="1"/>
  <c r="H23"/>
  <c r="H135" s="1"/>
  <c r="H141" s="1"/>
  <c r="AA20"/>
  <c r="X25" i="43"/>
  <c r="AA21" i="47" s="1"/>
  <c r="G19" i="43"/>
  <c r="J22" i="47"/>
  <c r="I28" i="43"/>
  <c r="L24" i="47" s="1"/>
  <c r="L124" s="1"/>
  <c r="L125" s="1"/>
  <c r="L23"/>
  <c r="L135" s="1"/>
  <c r="L141" s="1"/>
  <c r="J25" i="43"/>
  <c r="M21" i="47" s="1"/>
  <c r="M20"/>
  <c r="L19" i="43"/>
  <c r="O22" i="47"/>
  <c r="Y28" i="43"/>
  <c r="AB24" i="47" s="1"/>
  <c r="AB124" s="1"/>
  <c r="AB125" s="1"/>
  <c r="AB23"/>
  <c r="AB135" s="1"/>
  <c r="AB141" s="1"/>
  <c r="M25" i="43"/>
  <c r="P21" i="47" s="1"/>
  <c r="P20"/>
  <c r="O19" i="43"/>
  <c r="R22" i="47"/>
  <c r="Z28" i="43"/>
  <c r="AC24" i="47" s="1"/>
  <c r="AC124" s="1"/>
  <c r="AC125" s="1"/>
  <c r="AC23"/>
  <c r="AC135" s="1"/>
  <c r="AC141" s="1"/>
  <c r="AB90"/>
  <c r="AB91" s="1"/>
  <c r="N113"/>
  <c r="P90"/>
  <c r="P91" s="1"/>
  <c r="AC90"/>
  <c r="AC91" s="1"/>
  <c r="AD103"/>
  <c r="H106"/>
  <c r="AD106" s="1"/>
  <c r="M90"/>
  <c r="M91" s="1"/>
  <c r="Y90"/>
  <c r="Y91" s="1"/>
  <c r="L90"/>
  <c r="L91" s="1"/>
  <c r="W90"/>
  <c r="W91" s="1"/>
  <c r="N19" i="43"/>
  <c r="Q22" i="47"/>
  <c r="S28" i="43"/>
  <c r="V24" i="47" s="1"/>
  <c r="V124" s="1"/>
  <c r="V125" s="1"/>
  <c r="V23"/>
  <c r="V135" s="1"/>
  <c r="V141" s="1"/>
  <c r="V25" i="43"/>
  <c r="Y21" i="47" s="1"/>
  <c r="Y20"/>
  <c r="R19" i="43"/>
  <c r="U22" i="47"/>
  <c r="N28" i="43"/>
  <c r="Q24" i="47" s="1"/>
  <c r="Q124" s="1"/>
  <c r="Q125" s="1"/>
  <c r="Q23"/>
  <c r="Q135" s="1"/>
  <c r="Q141" s="1"/>
  <c r="K20"/>
  <c r="H25" i="43"/>
  <c r="K21" i="47" s="1"/>
  <c r="E19" i="43"/>
  <c r="H22" i="47"/>
  <c r="W28" i="43"/>
  <c r="Z24" i="47" s="1"/>
  <c r="Z124" s="1"/>
  <c r="Z125" s="1"/>
  <c r="Z23"/>
  <c r="Z135" s="1"/>
  <c r="Z141" s="1"/>
  <c r="G25" i="43"/>
  <c r="J21" i="47" s="1"/>
  <c r="J20"/>
  <c r="I19" i="43"/>
  <c r="L22" i="47"/>
  <c r="T28" i="43"/>
  <c r="W24" i="47" s="1"/>
  <c r="W124" s="1"/>
  <c r="W125" s="1"/>
  <c r="W23"/>
  <c r="W135" s="1"/>
  <c r="W141" s="1"/>
  <c r="L25" i="43"/>
  <c r="O21" i="47" s="1"/>
  <c r="O20"/>
  <c r="Y19" i="43"/>
  <c r="AB22" i="47"/>
  <c r="P28" i="43"/>
  <c r="S24" i="47" s="1"/>
  <c r="S124" s="1"/>
  <c r="S125" s="1"/>
  <c r="S23"/>
  <c r="S135" s="1"/>
  <c r="S141" s="1"/>
  <c r="O25" i="43"/>
  <c r="R21" i="47" s="1"/>
  <c r="R20"/>
  <c r="Z19" i="43"/>
  <c r="AC22" i="47"/>
  <c r="S90"/>
  <c r="S91" s="1"/>
  <c r="H90"/>
  <c r="AD74"/>
  <c r="Q90"/>
  <c r="Q91" s="1"/>
  <c r="U28" i="43"/>
  <c r="X24" i="47" s="1"/>
  <c r="X124" s="1"/>
  <c r="X125" s="1"/>
  <c r="X23"/>
  <c r="X135" s="1"/>
  <c r="X141" s="1"/>
  <c r="R25" i="43"/>
  <c r="U21" i="47" s="1"/>
  <c r="U20"/>
  <c r="H20"/>
  <c r="E25" i="43"/>
  <c r="H21" i="47" s="1"/>
  <c r="W19" i="43"/>
  <c r="Z22" i="47"/>
  <c r="X28" i="43"/>
  <c r="AA24" i="47" s="1"/>
  <c r="AA124" s="1"/>
  <c r="AA125" s="1"/>
  <c r="AA23"/>
  <c r="AA135" s="1"/>
  <c r="AA141" s="1"/>
  <c r="I25" i="43"/>
  <c r="L21" i="47" s="1"/>
  <c r="L20"/>
  <c r="T19" i="43"/>
  <c r="W22" i="47"/>
  <c r="J28" i="43"/>
  <c r="M24" i="47" s="1"/>
  <c r="M124" s="1"/>
  <c r="M125" s="1"/>
  <c r="M23"/>
  <c r="M135" s="1"/>
  <c r="M141" s="1"/>
  <c r="Y25" i="43"/>
  <c r="AB21" i="47" s="1"/>
  <c r="AB20"/>
  <c r="P19" i="43"/>
  <c r="S22" i="47"/>
  <c r="M28" i="43"/>
  <c r="P24" i="47" s="1"/>
  <c r="P124" s="1"/>
  <c r="P125" s="1"/>
  <c r="P23"/>
  <c r="P135" s="1"/>
  <c r="P141" s="1"/>
  <c r="Z25" i="43"/>
  <c r="AC21" i="47" s="1"/>
  <c r="AC20"/>
  <c r="K20" i="43"/>
  <c r="N30" i="47" s="1"/>
  <c r="N116" s="1"/>
  <c r="N29"/>
  <c r="O90"/>
  <c r="O91" s="1"/>
  <c r="V90"/>
  <c r="V91" s="1"/>
  <c r="J90"/>
  <c r="J91" s="1"/>
  <c r="J206" s="1"/>
  <c r="T90"/>
  <c r="T91" s="1"/>
  <c r="U90"/>
  <c r="U91" s="1"/>
  <c r="X90"/>
  <c r="X91" s="1"/>
  <c r="G286" i="35"/>
  <c r="AD306" i="29"/>
  <c r="M188" i="46"/>
  <c r="N191" i="45"/>
  <c r="F80" i="35"/>
  <c r="I94" i="32"/>
  <c r="I21" s="1"/>
  <c r="L26" i="35" s="1"/>
  <c r="L164" s="1"/>
  <c r="I93" i="32"/>
  <c r="I20" s="1"/>
  <c r="L25" i="35" s="1"/>
  <c r="L107" s="1"/>
  <c r="I92" i="32"/>
  <c r="I19" s="1"/>
  <c r="L24" i="35" s="1"/>
  <c r="L159" s="1"/>
  <c r="I91" i="32"/>
  <c r="I18" s="1"/>
  <c r="L23" i="35" s="1"/>
  <c r="L106" s="1"/>
  <c r="I90" i="32"/>
  <c r="I17" s="1"/>
  <c r="L22" i="35" s="1"/>
  <c r="L105" s="1"/>
  <c r="I89" i="32"/>
  <c r="I16" s="1"/>
  <c r="I88"/>
  <c r="I15" s="1"/>
  <c r="L20" i="35" s="1"/>
  <c r="L103" s="1"/>
  <c r="J85" i="32"/>
  <c r="J86" s="1"/>
  <c r="K62"/>
  <c r="K58"/>
  <c r="H110" i="31"/>
  <c r="H109"/>
  <c r="H108"/>
  <c r="H104"/>
  <c r="H105"/>
  <c r="G107"/>
  <c r="G106"/>
  <c r="G80" i="35"/>
  <c r="D72"/>
  <c r="I159"/>
  <c r="D99"/>
  <c r="D130"/>
  <c r="I103"/>
  <c r="H107" i="31"/>
  <c r="H106"/>
  <c r="H140" i="45" l="1"/>
  <c r="AD140" s="1"/>
  <c r="AD134"/>
  <c r="I47" i="47"/>
  <c r="AD11"/>
  <c r="I20"/>
  <c r="AD20" s="1"/>
  <c r="F25" i="43"/>
  <c r="I21" i="47" s="1"/>
  <c r="F19" i="43"/>
  <c r="I22" i="47"/>
  <c r="AD22" s="1"/>
  <c r="I23"/>
  <c r="F28" i="43"/>
  <c r="I24" i="47" s="1"/>
  <c r="I124" s="1"/>
  <c r="I125" s="1"/>
  <c r="AD139" i="46"/>
  <c r="X121" i="45"/>
  <c r="X212" s="1"/>
  <c r="AA210"/>
  <c r="K210"/>
  <c r="J206" i="46"/>
  <c r="AA206"/>
  <c r="L210" i="45"/>
  <c r="L252" s="1"/>
  <c r="K60" i="32"/>
  <c r="K64"/>
  <c r="K59"/>
  <c r="K79" s="1"/>
  <c r="K10" s="1"/>
  <c r="N15" i="35" s="1"/>
  <c r="N80" s="1"/>
  <c r="K63" i="32"/>
  <c r="L21" i="35"/>
  <c r="I32" i="32"/>
  <c r="L30" i="35" s="1"/>
  <c r="N121" i="45"/>
  <c r="N212" s="1"/>
  <c r="P121"/>
  <c r="P212" s="1"/>
  <c r="O121"/>
  <c r="O212" s="1"/>
  <c r="AB210"/>
  <c r="AD21"/>
  <c r="Q210"/>
  <c r="I210"/>
  <c r="I231" s="1"/>
  <c r="AD22"/>
  <c r="T206" i="47"/>
  <c r="V206"/>
  <c r="AD100"/>
  <c r="W206"/>
  <c r="X206"/>
  <c r="I29" i="45"/>
  <c r="F20" i="41"/>
  <c r="I30" i="45" s="1"/>
  <c r="I115" s="1"/>
  <c r="H91"/>
  <c r="AD91" s="1"/>
  <c r="AD90"/>
  <c r="Z63"/>
  <c r="Z64" s="1"/>
  <c r="Z210" s="1"/>
  <c r="H29"/>
  <c r="E20" i="41"/>
  <c r="H30" i="45" s="1"/>
  <c r="K29"/>
  <c r="H20" i="41"/>
  <c r="K30" i="45" s="1"/>
  <c r="K115" s="1"/>
  <c r="L29"/>
  <c r="I20" i="41"/>
  <c r="L30" i="45" s="1"/>
  <c r="L115" s="1"/>
  <c r="AD20"/>
  <c r="V210"/>
  <c r="AD47"/>
  <c r="J210"/>
  <c r="AA29"/>
  <c r="X20" i="41"/>
  <c r="AA30" i="45" s="1"/>
  <c r="AA115" s="1"/>
  <c r="Q29"/>
  <c r="N20" i="41"/>
  <c r="Q30" i="45" s="1"/>
  <c r="Q115" s="1"/>
  <c r="S29"/>
  <c r="P20" i="41"/>
  <c r="S30" i="45" s="1"/>
  <c r="S115" s="1"/>
  <c r="I252"/>
  <c r="H64"/>
  <c r="J29"/>
  <c r="G20" i="41"/>
  <c r="J30" i="45" s="1"/>
  <c r="J115" s="1"/>
  <c r="Y29"/>
  <c r="V20" i="41"/>
  <c r="Y30" i="45" s="1"/>
  <c r="Y115" s="1"/>
  <c r="M29"/>
  <c r="J20" i="41"/>
  <c r="M30" i="45" s="1"/>
  <c r="M115" s="1"/>
  <c r="AB29"/>
  <c r="Y20" i="41"/>
  <c r="AB30" i="45" s="1"/>
  <c r="AB115" s="1"/>
  <c r="S210"/>
  <c r="Y210"/>
  <c r="V29"/>
  <c r="S20" i="41"/>
  <c r="V30" i="45" s="1"/>
  <c r="V115" s="1"/>
  <c r="M210"/>
  <c r="M252" s="1"/>
  <c r="G250" i="47"/>
  <c r="G229"/>
  <c r="G248"/>
  <c r="G227"/>
  <c r="Z206"/>
  <c r="R206" i="46"/>
  <c r="Z206"/>
  <c r="K206"/>
  <c r="K227" s="1"/>
  <c r="Y206"/>
  <c r="O206"/>
  <c r="L206"/>
  <c r="L227" s="1"/>
  <c r="M206"/>
  <c r="M227" s="1"/>
  <c r="AB206"/>
  <c r="AD20"/>
  <c r="AD21"/>
  <c r="AD22"/>
  <c r="X206"/>
  <c r="J248"/>
  <c r="J227"/>
  <c r="AB29"/>
  <c r="AB30"/>
  <c r="K29"/>
  <c r="K30"/>
  <c r="Z29"/>
  <c r="Z30"/>
  <c r="Q29"/>
  <c r="Q30"/>
  <c r="AA29"/>
  <c r="AA30"/>
  <c r="S29"/>
  <c r="S30"/>
  <c r="T29"/>
  <c r="T30"/>
  <c r="P29"/>
  <c r="P30"/>
  <c r="AC29"/>
  <c r="AC30"/>
  <c r="R29"/>
  <c r="R30"/>
  <c r="U206"/>
  <c r="AD63"/>
  <c r="V206"/>
  <c r="AC206"/>
  <c r="X29"/>
  <c r="X30"/>
  <c r="W29"/>
  <c r="W30"/>
  <c r="Y29"/>
  <c r="Y30"/>
  <c r="M29"/>
  <c r="M30"/>
  <c r="V29"/>
  <c r="V30"/>
  <c r="S206"/>
  <c r="Q206"/>
  <c r="T206"/>
  <c r="W206"/>
  <c r="H206"/>
  <c r="AD90"/>
  <c r="P206"/>
  <c r="U29"/>
  <c r="U30"/>
  <c r="O29"/>
  <c r="O30"/>
  <c r="J29"/>
  <c r="J30"/>
  <c r="L29"/>
  <c r="L30"/>
  <c r="AD64"/>
  <c r="AD89"/>
  <c r="Y122"/>
  <c r="Y123" s="1"/>
  <c r="V122"/>
  <c r="V123" s="1"/>
  <c r="AB122"/>
  <c r="AB123" s="1"/>
  <c r="Z122"/>
  <c r="Z123" s="1"/>
  <c r="AA122"/>
  <c r="AA123" s="1"/>
  <c r="X122"/>
  <c r="X123" s="1"/>
  <c r="O122"/>
  <c r="O123" s="1"/>
  <c r="L122"/>
  <c r="L123" s="1"/>
  <c r="S122"/>
  <c r="S123" s="1"/>
  <c r="P122"/>
  <c r="P123" s="1"/>
  <c r="R122"/>
  <c r="R123" s="1"/>
  <c r="W122"/>
  <c r="W123" s="1"/>
  <c r="M122"/>
  <c r="M123" s="1"/>
  <c r="K122"/>
  <c r="K123" s="1"/>
  <c r="Q122"/>
  <c r="Q123" s="1"/>
  <c r="U122"/>
  <c r="U123" s="1"/>
  <c r="J122"/>
  <c r="J123" s="1"/>
  <c r="T122"/>
  <c r="T123" s="1"/>
  <c r="AC122"/>
  <c r="AC123" s="1"/>
  <c r="H253" i="35"/>
  <c r="G305"/>
  <c r="G306"/>
  <c r="G307"/>
  <c r="H251"/>
  <c r="G284"/>
  <c r="G285"/>
  <c r="L243" i="47"/>
  <c r="L242"/>
  <c r="L241"/>
  <c r="M191"/>
  <c r="L243" i="46"/>
  <c r="L242"/>
  <c r="L241"/>
  <c r="M190"/>
  <c r="N254" i="45"/>
  <c r="N247"/>
  <c r="N246"/>
  <c r="N245"/>
  <c r="N252"/>
  <c r="H198" i="44"/>
  <c r="D198" s="1"/>
  <c r="I240"/>
  <c r="I219"/>
  <c r="AB111" i="46"/>
  <c r="Q112" i="45"/>
  <c r="H123"/>
  <c r="AD24"/>
  <c r="O130" i="46"/>
  <c r="O111"/>
  <c r="O131"/>
  <c r="L111"/>
  <c r="H123"/>
  <c r="M112" i="45"/>
  <c r="T111" i="46"/>
  <c r="AC111"/>
  <c r="AC130"/>
  <c r="AC132"/>
  <c r="AC138" s="1"/>
  <c r="AC131"/>
  <c r="H112" i="45"/>
  <c r="AD23"/>
  <c r="L112"/>
  <c r="AB112"/>
  <c r="AB121" s="1"/>
  <c r="AB212" s="1"/>
  <c r="Z111" i="46"/>
  <c r="W111"/>
  <c r="M111"/>
  <c r="I112" i="45"/>
  <c r="V112"/>
  <c r="V121" s="1"/>
  <c r="V212" s="1"/>
  <c r="K111" i="46"/>
  <c r="Q111"/>
  <c r="AA133" i="45"/>
  <c r="AA139" s="1"/>
  <c r="AA131"/>
  <c r="AA112"/>
  <c r="AA132"/>
  <c r="S112"/>
  <c r="D240" i="35"/>
  <c r="D234"/>
  <c r="Y132" i="45"/>
  <c r="Y112"/>
  <c r="Y121" s="1"/>
  <c r="Y212" s="1"/>
  <c r="Y133"/>
  <c r="Y139" s="1"/>
  <c r="Y131"/>
  <c r="AD24" i="46"/>
  <c r="Y111"/>
  <c r="Y130"/>
  <c r="Y132"/>
  <c r="Y138" s="1"/>
  <c r="Y131"/>
  <c r="V111"/>
  <c r="AA111"/>
  <c r="AA130"/>
  <c r="AA132"/>
  <c r="AA138" s="1"/>
  <c r="AA131"/>
  <c r="X111"/>
  <c r="J227" i="47"/>
  <c r="J248"/>
  <c r="D242" i="35"/>
  <c r="D236"/>
  <c r="U111" i="46"/>
  <c r="J111"/>
  <c r="J112" i="45"/>
  <c r="J121" s="1"/>
  <c r="J212" s="1"/>
  <c r="S111" i="46"/>
  <c r="P111"/>
  <c r="R111"/>
  <c r="K112" i="45"/>
  <c r="K121" s="1"/>
  <c r="K212" s="1"/>
  <c r="AD23" i="46"/>
  <c r="L239" i="44"/>
  <c r="L238"/>
  <c r="L240"/>
  <c r="M185"/>
  <c r="L219"/>
  <c r="L217"/>
  <c r="L218"/>
  <c r="M183"/>
  <c r="L226" i="45"/>
  <c r="L225"/>
  <c r="L224"/>
  <c r="L231"/>
  <c r="M189"/>
  <c r="M222" i="46"/>
  <c r="M221"/>
  <c r="M220"/>
  <c r="L222" i="47"/>
  <c r="L220"/>
  <c r="L221"/>
  <c r="M189"/>
  <c r="U206"/>
  <c r="O206"/>
  <c r="R206"/>
  <c r="K206"/>
  <c r="Q206"/>
  <c r="S206"/>
  <c r="AC206"/>
  <c r="P206"/>
  <c r="AD21"/>
  <c r="L206"/>
  <c r="M206"/>
  <c r="M248" s="1"/>
  <c r="AA206"/>
  <c r="H64"/>
  <c r="Y206"/>
  <c r="N122"/>
  <c r="N208" s="1"/>
  <c r="AB206"/>
  <c r="P20" i="43"/>
  <c r="S30" i="47" s="1"/>
  <c r="S116" s="1"/>
  <c r="S29"/>
  <c r="W20" i="43"/>
  <c r="Z30" i="47" s="1"/>
  <c r="Z116" s="1"/>
  <c r="Z29"/>
  <c r="AB29"/>
  <c r="Y20" i="43"/>
  <c r="AB30" i="47" s="1"/>
  <c r="AB116" s="1"/>
  <c r="H29"/>
  <c r="E20" i="43"/>
  <c r="H30" i="47" s="1"/>
  <c r="N20" i="43"/>
  <c r="Q30" i="47" s="1"/>
  <c r="Q116" s="1"/>
  <c r="Q29"/>
  <c r="AC113"/>
  <c r="AC134"/>
  <c r="AC140" s="1"/>
  <c r="O133"/>
  <c r="O132"/>
  <c r="L113"/>
  <c r="U113"/>
  <c r="M20" i="43"/>
  <c r="P30" i="47" s="1"/>
  <c r="P116" s="1"/>
  <c r="P29"/>
  <c r="X20" i="43"/>
  <c r="AA30" i="47" s="1"/>
  <c r="AA116" s="1"/>
  <c r="AA29"/>
  <c r="U20" i="43"/>
  <c r="X30" i="47" s="1"/>
  <c r="X116" s="1"/>
  <c r="X29"/>
  <c r="P113"/>
  <c r="AA134"/>
  <c r="AA140" s="1"/>
  <c r="AA113"/>
  <c r="X113"/>
  <c r="AC133"/>
  <c r="AC132"/>
  <c r="M113"/>
  <c r="W113"/>
  <c r="Q113"/>
  <c r="O20" i="43"/>
  <c r="R30" i="47" s="1"/>
  <c r="R116" s="1"/>
  <c r="R29"/>
  <c r="G20" i="43"/>
  <c r="J30" i="47" s="1"/>
  <c r="J116" s="1"/>
  <c r="J29"/>
  <c r="H124"/>
  <c r="AD24"/>
  <c r="V20" i="43"/>
  <c r="Y30" i="47" s="1"/>
  <c r="Y116" s="1"/>
  <c r="Y29"/>
  <c r="S20" i="43"/>
  <c r="V30" i="47" s="1"/>
  <c r="V116" s="1"/>
  <c r="V29"/>
  <c r="O113"/>
  <c r="AA133"/>
  <c r="AA132"/>
  <c r="K113"/>
  <c r="T113"/>
  <c r="W29"/>
  <c r="T20" i="43"/>
  <c r="W30" i="47" s="1"/>
  <c r="W116" s="1"/>
  <c r="H91"/>
  <c r="AD90"/>
  <c r="Z20" i="43"/>
  <c r="AC30" i="47" s="1"/>
  <c r="AC116" s="1"/>
  <c r="AC29"/>
  <c r="L29"/>
  <c r="I20" i="43"/>
  <c r="L30" i="47" s="1"/>
  <c r="L116" s="1"/>
  <c r="R20" i="43"/>
  <c r="U30" i="47" s="1"/>
  <c r="U116" s="1"/>
  <c r="U29"/>
  <c r="AB113"/>
  <c r="H113"/>
  <c r="AD23"/>
  <c r="Y133"/>
  <c r="Y132"/>
  <c r="J20" i="43"/>
  <c r="M30" i="47" s="1"/>
  <c r="M116" s="1"/>
  <c r="M29"/>
  <c r="T29"/>
  <c r="Q20" i="43"/>
  <c r="T30" i="47" s="1"/>
  <c r="T116" s="1"/>
  <c r="S113"/>
  <c r="Z113"/>
  <c r="V113"/>
  <c r="L20" i="43"/>
  <c r="O30" i="47" s="1"/>
  <c r="O116" s="1"/>
  <c r="O29"/>
  <c r="H20" i="43"/>
  <c r="K30" i="47" s="1"/>
  <c r="K116" s="1"/>
  <c r="K29"/>
  <c r="R113"/>
  <c r="J113"/>
  <c r="Y134"/>
  <c r="Y140" s="1"/>
  <c r="Y113"/>
  <c r="N188" i="46"/>
  <c r="O191" i="45"/>
  <c r="K72" i="32"/>
  <c r="K5" s="1"/>
  <c r="N10" i="35" s="1"/>
  <c r="N54" s="1"/>
  <c r="J94" i="32"/>
  <c r="J21" s="1"/>
  <c r="M26" i="35" s="1"/>
  <c r="J93" i="32"/>
  <c r="J20" s="1"/>
  <c r="M25" i="35" s="1"/>
  <c r="J92" i="32"/>
  <c r="J19" s="1"/>
  <c r="M24" i="35" s="1"/>
  <c r="J91" i="32"/>
  <c r="J18" s="1"/>
  <c r="M23" i="35" s="1"/>
  <c r="J90" i="32"/>
  <c r="J17" s="1"/>
  <c r="M22" i="35" s="1"/>
  <c r="J89" i="32"/>
  <c r="J16" s="1"/>
  <c r="J88"/>
  <c r="J15" s="1"/>
  <c r="M20" i="35" s="1"/>
  <c r="K85" i="32"/>
  <c r="K86" s="1"/>
  <c r="H64"/>
  <c r="H63"/>
  <c r="H62"/>
  <c r="H61"/>
  <c r="H60"/>
  <c r="H59"/>
  <c r="H58"/>
  <c r="J64"/>
  <c r="J63"/>
  <c r="J62"/>
  <c r="J61"/>
  <c r="J60"/>
  <c r="J59"/>
  <c r="J58"/>
  <c r="U63"/>
  <c r="U62"/>
  <c r="U64"/>
  <c r="U61"/>
  <c r="U60"/>
  <c r="U59"/>
  <c r="U58"/>
  <c r="Z64"/>
  <c r="Z63"/>
  <c r="Z62"/>
  <c r="Z61"/>
  <c r="Z60"/>
  <c r="Z59"/>
  <c r="Z58"/>
  <c r="Y64"/>
  <c r="Y63"/>
  <c r="Y60"/>
  <c r="Y59"/>
  <c r="Y58"/>
  <c r="Y62"/>
  <c r="Y61"/>
  <c r="D64"/>
  <c r="D63"/>
  <c r="D62"/>
  <c r="D61"/>
  <c r="D60"/>
  <c r="D59"/>
  <c r="D58"/>
  <c r="D72" s="1"/>
  <c r="F64"/>
  <c r="F63"/>
  <c r="F62"/>
  <c r="F61"/>
  <c r="F60"/>
  <c r="F59"/>
  <c r="F58"/>
  <c r="W64"/>
  <c r="W63"/>
  <c r="W62"/>
  <c r="W61"/>
  <c r="W60"/>
  <c r="W59"/>
  <c r="W58"/>
  <c r="V64"/>
  <c r="V63"/>
  <c r="V62"/>
  <c r="V61"/>
  <c r="V60"/>
  <c r="V59"/>
  <c r="V58"/>
  <c r="T64"/>
  <c r="T63"/>
  <c r="T62"/>
  <c r="T61"/>
  <c r="T60"/>
  <c r="T59"/>
  <c r="T58"/>
  <c r="X64"/>
  <c r="X63"/>
  <c r="X62"/>
  <c r="X61"/>
  <c r="X60"/>
  <c r="X59"/>
  <c r="X58"/>
  <c r="I62"/>
  <c r="I58"/>
  <c r="I64"/>
  <c r="I63"/>
  <c r="I61"/>
  <c r="I60"/>
  <c r="I59"/>
  <c r="G64"/>
  <c r="G63"/>
  <c r="G62"/>
  <c r="G61"/>
  <c r="G60"/>
  <c r="G59"/>
  <c r="G58"/>
  <c r="R64"/>
  <c r="R63"/>
  <c r="R62"/>
  <c r="R61"/>
  <c r="R60"/>
  <c r="R59"/>
  <c r="R58"/>
  <c r="Q62"/>
  <c r="Q61"/>
  <c r="Q59"/>
  <c r="Q58"/>
  <c r="Q64"/>
  <c r="Q63"/>
  <c r="Q60"/>
  <c r="P64"/>
  <c r="P63"/>
  <c r="P62"/>
  <c r="P61"/>
  <c r="P60"/>
  <c r="P59"/>
  <c r="P58"/>
  <c r="S64"/>
  <c r="S63"/>
  <c r="S62"/>
  <c r="S61"/>
  <c r="S60"/>
  <c r="S59"/>
  <c r="S58"/>
  <c r="E64"/>
  <c r="E61"/>
  <c r="E63"/>
  <c r="E62"/>
  <c r="E60"/>
  <c r="E59"/>
  <c r="E58"/>
  <c r="E72" s="1"/>
  <c r="E5" s="1"/>
  <c r="H10" i="35" s="1"/>
  <c r="C64" i="32"/>
  <c r="C63"/>
  <c r="C62"/>
  <c r="C61"/>
  <c r="C60"/>
  <c r="C59"/>
  <c r="C79" s="1"/>
  <c r="C58"/>
  <c r="N64"/>
  <c r="N63"/>
  <c r="N62"/>
  <c r="N61"/>
  <c r="N60"/>
  <c r="N59"/>
  <c r="N58"/>
  <c r="M64"/>
  <c r="M63"/>
  <c r="M62"/>
  <c r="M61"/>
  <c r="M60"/>
  <c r="M59"/>
  <c r="M58"/>
  <c r="L64"/>
  <c r="L63"/>
  <c r="L62"/>
  <c r="L61"/>
  <c r="L60"/>
  <c r="L59"/>
  <c r="L58"/>
  <c r="O64"/>
  <c r="O63"/>
  <c r="O62"/>
  <c r="O61"/>
  <c r="O60"/>
  <c r="O59"/>
  <c r="O58"/>
  <c r="D151" i="35"/>
  <c r="F72"/>
  <c r="G72"/>
  <c r="G73" s="1"/>
  <c r="D157"/>
  <c r="F99"/>
  <c r="G99"/>
  <c r="G100" s="1"/>
  <c r="D216" i="29"/>
  <c r="D185" i="9"/>
  <c r="D184"/>
  <c r="D183"/>
  <c r="D196"/>
  <c r="D195"/>
  <c r="D190"/>
  <c r="T190"/>
  <c r="T189"/>
  <c r="C189" s="1"/>
  <c r="D189" s="1"/>
  <c r="T188"/>
  <c r="F20" i="43" l="1"/>
  <c r="I30" i="47" s="1"/>
  <c r="I116" s="1"/>
  <c r="I29"/>
  <c r="AD29" s="1"/>
  <c r="I63"/>
  <c r="AD47"/>
  <c r="I135"/>
  <c r="I113"/>
  <c r="I122" s="1"/>
  <c r="I208" s="1"/>
  <c r="I250" s="1"/>
  <c r="I121" i="45"/>
  <c r="I212" s="1"/>
  <c r="I233" s="1"/>
  <c r="K252"/>
  <c r="K231"/>
  <c r="D252" i="29"/>
  <c r="H252" s="1"/>
  <c r="D148" i="44"/>
  <c r="D155" i="47"/>
  <c r="D153" i="46"/>
  <c r="D154" i="45"/>
  <c r="D216" i="35"/>
  <c r="D250" i="29"/>
  <c r="G250" s="1"/>
  <c r="D153" i="47"/>
  <c r="D151" i="46"/>
  <c r="D152" i="45"/>
  <c r="D146" i="44"/>
  <c r="D214" i="35"/>
  <c r="D166" i="46"/>
  <c r="D167" i="45"/>
  <c r="D161" i="44"/>
  <c r="D168" i="47"/>
  <c r="D266" i="29"/>
  <c r="H266" s="1"/>
  <c r="D107" i="34"/>
  <c r="D229" i="35"/>
  <c r="D166" i="47"/>
  <c r="D159" i="44"/>
  <c r="D164" i="46"/>
  <c r="D165" i="45"/>
  <c r="D105" i="34"/>
  <c r="D227" i="35"/>
  <c r="D264" i="29"/>
  <c r="H264" s="1"/>
  <c r="D180" i="47"/>
  <c r="D178" i="46"/>
  <c r="D179" i="45"/>
  <c r="D173" i="44"/>
  <c r="F173" s="1"/>
  <c r="F174" s="1"/>
  <c r="D119" i="34"/>
  <c r="D241" i="35"/>
  <c r="D278" i="29"/>
  <c r="D176" i="46"/>
  <c r="D177" i="45"/>
  <c r="D171" i="44"/>
  <c r="F171" s="1"/>
  <c r="F172" s="1"/>
  <c r="D178" i="47"/>
  <c r="D239" i="35"/>
  <c r="D276" i="29"/>
  <c r="D117" i="34"/>
  <c r="D182" i="47"/>
  <c r="D180" i="46"/>
  <c r="D181" i="45"/>
  <c r="D175" i="44"/>
  <c r="F175" s="1"/>
  <c r="F176" s="1"/>
  <c r="D121" i="34"/>
  <c r="D243" i="35"/>
  <c r="D280" i="29"/>
  <c r="Q121" i="45"/>
  <c r="Q212" s="1"/>
  <c r="AD63"/>
  <c r="M121"/>
  <c r="M212" s="1"/>
  <c r="M254" s="1"/>
  <c r="M107" i="35"/>
  <c r="M105"/>
  <c r="M164"/>
  <c r="M21"/>
  <c r="M104" s="1"/>
  <c r="J32" i="32"/>
  <c r="M30" i="35" s="1"/>
  <c r="M103"/>
  <c r="M159"/>
  <c r="L104"/>
  <c r="M106"/>
  <c r="S121" i="45"/>
  <c r="S212" s="1"/>
  <c r="L121"/>
  <c r="L212" s="1"/>
  <c r="H210"/>
  <c r="AD64"/>
  <c r="AD29"/>
  <c r="H115"/>
  <c r="AD115" s="1"/>
  <c r="AD30"/>
  <c r="J252"/>
  <c r="J231"/>
  <c r="AA121"/>
  <c r="AA212" s="1"/>
  <c r="T122" i="47"/>
  <c r="T208" s="1"/>
  <c r="K248" i="46"/>
  <c r="AD122"/>
  <c r="L248"/>
  <c r="AD29"/>
  <c r="AD30"/>
  <c r="H248"/>
  <c r="H227"/>
  <c r="D206"/>
  <c r="AD123"/>
  <c r="H284" i="35"/>
  <c r="H285"/>
  <c r="I251"/>
  <c r="H306"/>
  <c r="H305"/>
  <c r="I253"/>
  <c r="M243" i="47"/>
  <c r="M242"/>
  <c r="M241"/>
  <c r="N191"/>
  <c r="M243" i="46"/>
  <c r="M242"/>
  <c r="M241"/>
  <c r="M248"/>
  <c r="N190"/>
  <c r="O247" i="45"/>
  <c r="O246"/>
  <c r="O245"/>
  <c r="O252"/>
  <c r="O254"/>
  <c r="H219" i="44"/>
  <c r="H240"/>
  <c r="AD112" i="45"/>
  <c r="H124"/>
  <c r="AD124" s="1"/>
  <c r="AD123"/>
  <c r="AD111" i="46"/>
  <c r="K227" i="47"/>
  <c r="K248"/>
  <c r="J254" i="45"/>
  <c r="J233"/>
  <c r="L227" i="47"/>
  <c r="L248"/>
  <c r="K254" i="45"/>
  <c r="K233"/>
  <c r="I254"/>
  <c r="M240" i="44"/>
  <c r="M239"/>
  <c r="M238"/>
  <c r="N185"/>
  <c r="M218"/>
  <c r="M219"/>
  <c r="M217"/>
  <c r="N183"/>
  <c r="M226" i="45"/>
  <c r="M225"/>
  <c r="M224"/>
  <c r="M233"/>
  <c r="M231"/>
  <c r="N189"/>
  <c r="N222" i="46"/>
  <c r="N220"/>
  <c r="N221"/>
  <c r="N227"/>
  <c r="M227" i="47"/>
  <c r="M222"/>
  <c r="M220"/>
  <c r="M221"/>
  <c r="N189"/>
  <c r="N229" s="1"/>
  <c r="K122"/>
  <c r="K208" s="1"/>
  <c r="M122"/>
  <c r="M208" s="1"/>
  <c r="U122"/>
  <c r="U208" s="1"/>
  <c r="AC122"/>
  <c r="AC208" s="1"/>
  <c r="O122"/>
  <c r="O208" s="1"/>
  <c r="L122"/>
  <c r="L208" s="1"/>
  <c r="W122"/>
  <c r="W208" s="1"/>
  <c r="Q122"/>
  <c r="Q208" s="1"/>
  <c r="S122"/>
  <c r="S208" s="1"/>
  <c r="V122"/>
  <c r="V208" s="1"/>
  <c r="P122"/>
  <c r="P208" s="1"/>
  <c r="Y122"/>
  <c r="Y208" s="1"/>
  <c r="R122"/>
  <c r="R208" s="1"/>
  <c r="X122"/>
  <c r="X208" s="1"/>
  <c r="AB122"/>
  <c r="AB208" s="1"/>
  <c r="H206"/>
  <c r="AD91"/>
  <c r="AA122"/>
  <c r="AA208" s="1"/>
  <c r="Z122"/>
  <c r="Z208" s="1"/>
  <c r="H125"/>
  <c r="AD125" s="1"/>
  <c r="AD124"/>
  <c r="H116"/>
  <c r="AD30"/>
  <c r="J122"/>
  <c r="J208" s="1"/>
  <c r="O188" i="46"/>
  <c r="P191" i="45"/>
  <c r="N79" i="32"/>
  <c r="N10" s="1"/>
  <c r="Q15" i="35" s="1"/>
  <c r="Q80" s="1"/>
  <c r="S72" i="32"/>
  <c r="S5" s="1"/>
  <c r="V10" i="35" s="1"/>
  <c r="P79" i="32"/>
  <c r="P10" s="1"/>
  <c r="S15" i="35" s="1"/>
  <c r="S80" s="1"/>
  <c r="G72" i="32"/>
  <c r="G5" s="1"/>
  <c r="J10" i="35" s="1"/>
  <c r="I72" i="32"/>
  <c r="I5" s="1"/>
  <c r="L10" i="35" s="1"/>
  <c r="O79" i="32"/>
  <c r="O10" s="1"/>
  <c r="R15" i="35" s="1"/>
  <c r="R80" s="1"/>
  <c r="N72" i="32"/>
  <c r="N5" s="1"/>
  <c r="Q10" i="35" s="1"/>
  <c r="P72" i="32"/>
  <c r="P5" s="1"/>
  <c r="S10" i="35" s="1"/>
  <c r="I79" i="32"/>
  <c r="I10" s="1"/>
  <c r="L15" i="35" s="1"/>
  <c r="L80" s="1"/>
  <c r="X79" i="32"/>
  <c r="X10" s="1"/>
  <c r="AA15" i="35" s="1"/>
  <c r="AA80" s="1"/>
  <c r="W72" i="32"/>
  <c r="W5" s="1"/>
  <c r="Z10" i="35" s="1"/>
  <c r="F79" i="32"/>
  <c r="F10" s="1"/>
  <c r="I15" i="35" s="1"/>
  <c r="I80" s="1"/>
  <c r="Y79" i="32"/>
  <c r="Y10" s="1"/>
  <c r="AB15" i="35" s="1"/>
  <c r="AB80" s="1"/>
  <c r="Z72" i="32"/>
  <c r="Z5" s="1"/>
  <c r="AC10" i="35" s="1"/>
  <c r="U79" i="32"/>
  <c r="U10" s="1"/>
  <c r="X15" i="35" s="1"/>
  <c r="X80" s="1"/>
  <c r="K94" i="32"/>
  <c r="K21" s="1"/>
  <c r="N26" i="35" s="1"/>
  <c r="N164" s="1"/>
  <c r="K93" i="32"/>
  <c r="K20" s="1"/>
  <c r="N25" i="35" s="1"/>
  <c r="N107" s="1"/>
  <c r="K92" i="32"/>
  <c r="K19" s="1"/>
  <c r="N24" i="35" s="1"/>
  <c r="N159" s="1"/>
  <c r="K91" i="32"/>
  <c r="K18" s="1"/>
  <c r="N23" i="35" s="1"/>
  <c r="N106" s="1"/>
  <c r="K90" i="32"/>
  <c r="K17" s="1"/>
  <c r="N22" i="35" s="1"/>
  <c r="N105" s="1"/>
  <c r="K89" i="32"/>
  <c r="K16" s="1"/>
  <c r="K88"/>
  <c r="K15" s="1"/>
  <c r="N20" i="35" s="1"/>
  <c r="N103" s="1"/>
  <c r="K75" i="32"/>
  <c r="K7" s="1"/>
  <c r="N12" i="35" s="1"/>
  <c r="N148" s="1"/>
  <c r="K74" i="32"/>
  <c r="K6" s="1"/>
  <c r="N11" i="35" s="1"/>
  <c r="O72" i="32"/>
  <c r="O5" s="1"/>
  <c r="R10" i="35" s="1"/>
  <c r="L79" i="32"/>
  <c r="L10" s="1"/>
  <c r="O15" i="35" s="1"/>
  <c r="O80" s="1"/>
  <c r="C69" i="32"/>
  <c r="C72"/>
  <c r="E79"/>
  <c r="Q79"/>
  <c r="Q10" s="1"/>
  <c r="T15" i="35" s="1"/>
  <c r="T80" s="1"/>
  <c r="R79" i="32"/>
  <c r="R10" s="1"/>
  <c r="U15" i="35" s="1"/>
  <c r="U80" s="1"/>
  <c r="X72" i="32"/>
  <c r="X5" s="1"/>
  <c r="AA10" i="35" s="1"/>
  <c r="T79" i="32"/>
  <c r="T10" s="1"/>
  <c r="W15" i="35" s="1"/>
  <c r="W80" s="1"/>
  <c r="F72" i="32"/>
  <c r="F5" s="1"/>
  <c r="I10" i="35" s="1"/>
  <c r="D79" i="32"/>
  <c r="Y72"/>
  <c r="Y5" s="1"/>
  <c r="AB10" i="35" s="1"/>
  <c r="U72" i="32"/>
  <c r="U5" s="1"/>
  <c r="X10" i="35" s="1"/>
  <c r="J79" i="32"/>
  <c r="J10" s="1"/>
  <c r="M15" i="35" s="1"/>
  <c r="M80" s="1"/>
  <c r="L72" i="32"/>
  <c r="L5" s="1"/>
  <c r="O10" i="35" s="1"/>
  <c r="M79" i="32"/>
  <c r="M10" s="1"/>
  <c r="P15" i="35" s="1"/>
  <c r="P80" s="1"/>
  <c r="S79" i="32"/>
  <c r="S10" s="1"/>
  <c r="V15" i="35" s="1"/>
  <c r="V80" s="1"/>
  <c r="Q72" i="32"/>
  <c r="Q5" s="1"/>
  <c r="T10" i="35" s="1"/>
  <c r="R72" i="32"/>
  <c r="R5" s="1"/>
  <c r="U10" i="35" s="1"/>
  <c r="G79" i="32"/>
  <c r="G10" s="1"/>
  <c r="J15" i="35" s="1"/>
  <c r="J80" s="1"/>
  <c r="T72" i="32"/>
  <c r="T5" s="1"/>
  <c r="W10" i="35" s="1"/>
  <c r="V79" i="32"/>
  <c r="V10" s="1"/>
  <c r="Y15" i="35" s="1"/>
  <c r="Y80" s="1"/>
  <c r="J72" i="32"/>
  <c r="J5" s="1"/>
  <c r="M10" i="35" s="1"/>
  <c r="H79" i="32"/>
  <c r="H10" s="1"/>
  <c r="K15" i="35" s="1"/>
  <c r="K80" s="1"/>
  <c r="K81" i="32"/>
  <c r="K11" s="1"/>
  <c r="K82"/>
  <c r="K12" s="1"/>
  <c r="N17" i="35" s="1"/>
  <c r="N154" s="1"/>
  <c r="N157" s="1"/>
  <c r="M72" i="32"/>
  <c r="M5" s="1"/>
  <c r="P10" i="35" s="1"/>
  <c r="V72" i="32"/>
  <c r="V5" s="1"/>
  <c r="Y10" i="35" s="1"/>
  <c r="W79" i="32"/>
  <c r="W10" s="1"/>
  <c r="Z15" i="35" s="1"/>
  <c r="Z80" s="1"/>
  <c r="Z79" i="32"/>
  <c r="Z10" s="1"/>
  <c r="AC15" i="35" s="1"/>
  <c r="AC80" s="1"/>
  <c r="H72" i="32"/>
  <c r="H5" s="1"/>
  <c r="K10" i="35" s="1"/>
  <c r="L85" i="32"/>
  <c r="L86" s="1"/>
  <c r="F157" i="35"/>
  <c r="G157"/>
  <c r="F73"/>
  <c r="F100"/>
  <c r="G151"/>
  <c r="F151"/>
  <c r="G266" i="29"/>
  <c r="I64" i="47" l="1"/>
  <c r="AD63"/>
  <c r="I141"/>
  <c r="AD141" s="1"/>
  <c r="AD135"/>
  <c r="AD113"/>
  <c r="I229"/>
  <c r="H250" i="29"/>
  <c r="F250"/>
  <c r="G264"/>
  <c r="F266"/>
  <c r="F252"/>
  <c r="F264"/>
  <c r="G252"/>
  <c r="F182" i="47"/>
  <c r="G182"/>
  <c r="G183" s="1"/>
  <c r="I182"/>
  <c r="I183" s="1"/>
  <c r="N182"/>
  <c r="N183" s="1"/>
  <c r="U182"/>
  <c r="U183" s="1"/>
  <c r="P182"/>
  <c r="P183" s="1"/>
  <c r="S182"/>
  <c r="S183" s="1"/>
  <c r="V182"/>
  <c r="V183" s="1"/>
  <c r="W182"/>
  <c r="W183" s="1"/>
  <c r="K182"/>
  <c r="K183" s="1"/>
  <c r="AB182"/>
  <c r="AB183" s="1"/>
  <c r="H182"/>
  <c r="H183" s="1"/>
  <c r="Z182"/>
  <c r="Z183" s="1"/>
  <c r="Y182"/>
  <c r="Y183" s="1"/>
  <c r="AA182"/>
  <c r="AA183" s="1"/>
  <c r="M182"/>
  <c r="M183" s="1"/>
  <c r="R182"/>
  <c r="R183" s="1"/>
  <c r="J182"/>
  <c r="J183" s="1"/>
  <c r="AC182"/>
  <c r="AC183" s="1"/>
  <c r="L182"/>
  <c r="L183" s="1"/>
  <c r="X182"/>
  <c r="X183" s="1"/>
  <c r="Q182"/>
  <c r="Q183" s="1"/>
  <c r="O182"/>
  <c r="O183" s="1"/>
  <c r="T182"/>
  <c r="T183" s="1"/>
  <c r="F178"/>
  <c r="N178"/>
  <c r="N179" s="1"/>
  <c r="G178"/>
  <c r="G179" s="1"/>
  <c r="I178"/>
  <c r="I179" s="1"/>
  <c r="AA178"/>
  <c r="AA179" s="1"/>
  <c r="Q178"/>
  <c r="Q179" s="1"/>
  <c r="AB178"/>
  <c r="AB179" s="1"/>
  <c r="Z178"/>
  <c r="Z179" s="1"/>
  <c r="R178"/>
  <c r="R179" s="1"/>
  <c r="AC178"/>
  <c r="AC179" s="1"/>
  <c r="U178"/>
  <c r="U179" s="1"/>
  <c r="P178"/>
  <c r="P179" s="1"/>
  <c r="O178"/>
  <c r="O179" s="1"/>
  <c r="J178"/>
  <c r="J179" s="1"/>
  <c r="L178"/>
  <c r="L179" s="1"/>
  <c r="X178"/>
  <c r="X179" s="1"/>
  <c r="K178"/>
  <c r="K179" s="1"/>
  <c r="T178"/>
  <c r="T179" s="1"/>
  <c r="S178"/>
  <c r="S179" s="1"/>
  <c r="V178"/>
  <c r="V179" s="1"/>
  <c r="M178"/>
  <c r="M179" s="1"/>
  <c r="W178"/>
  <c r="W179" s="1"/>
  <c r="H178"/>
  <c r="H179" s="1"/>
  <c r="Y178"/>
  <c r="Y179" s="1"/>
  <c r="G179" i="45"/>
  <c r="G180" s="1"/>
  <c r="F179"/>
  <c r="R179"/>
  <c r="R180" s="1"/>
  <c r="W179"/>
  <c r="W180" s="1"/>
  <c r="Z179"/>
  <c r="Z180" s="1"/>
  <c r="O179"/>
  <c r="O180" s="1"/>
  <c r="N179"/>
  <c r="N180" s="1"/>
  <c r="AC179"/>
  <c r="AC180" s="1"/>
  <c r="U179"/>
  <c r="U180" s="1"/>
  <c r="P179"/>
  <c r="P180" s="1"/>
  <c r="X179"/>
  <c r="X180" s="1"/>
  <c r="T179"/>
  <c r="T180" s="1"/>
  <c r="L179"/>
  <c r="L180" s="1"/>
  <c r="I179"/>
  <c r="I180" s="1"/>
  <c r="V179"/>
  <c r="V180" s="1"/>
  <c r="S179"/>
  <c r="S180" s="1"/>
  <c r="J179"/>
  <c r="J180" s="1"/>
  <c r="K179"/>
  <c r="K180" s="1"/>
  <c r="M179"/>
  <c r="M180" s="1"/>
  <c r="H179"/>
  <c r="H180" s="1"/>
  <c r="AB179"/>
  <c r="AB180" s="1"/>
  <c r="Y179"/>
  <c r="Y180" s="1"/>
  <c r="Q179"/>
  <c r="Q180" s="1"/>
  <c r="AA179"/>
  <c r="AA180" s="1"/>
  <c r="D233" i="35"/>
  <c r="G227"/>
  <c r="G228" s="1"/>
  <c r="F227"/>
  <c r="F228" s="1"/>
  <c r="D165" i="44"/>
  <c r="F165" s="1"/>
  <c r="F159"/>
  <c r="F160" s="1"/>
  <c r="D172" i="46"/>
  <c r="F166"/>
  <c r="G166"/>
  <c r="G167" s="1"/>
  <c r="I166"/>
  <c r="I167" s="1"/>
  <c r="N166"/>
  <c r="N167" s="1"/>
  <c r="H166"/>
  <c r="H167" s="1"/>
  <c r="AA166"/>
  <c r="AA167" s="1"/>
  <c r="AC166"/>
  <c r="AC167" s="1"/>
  <c r="U166"/>
  <c r="U167" s="1"/>
  <c r="W166"/>
  <c r="W167" s="1"/>
  <c r="V166"/>
  <c r="V167" s="1"/>
  <c r="R166"/>
  <c r="R167" s="1"/>
  <c r="L166"/>
  <c r="L167" s="1"/>
  <c r="X166"/>
  <c r="X167" s="1"/>
  <c r="K166"/>
  <c r="K167" s="1"/>
  <c r="Q166"/>
  <c r="Q167" s="1"/>
  <c r="Z166"/>
  <c r="Z167" s="1"/>
  <c r="P166"/>
  <c r="P167" s="1"/>
  <c r="J166"/>
  <c r="J167" s="1"/>
  <c r="O166"/>
  <c r="O167" s="1"/>
  <c r="S166"/>
  <c r="S167" s="1"/>
  <c r="M166"/>
  <c r="M167" s="1"/>
  <c r="Y166"/>
  <c r="Y167" s="1"/>
  <c r="AB166"/>
  <c r="AB167" s="1"/>
  <c r="T166"/>
  <c r="T167" s="1"/>
  <c r="D157"/>
  <c r="G151"/>
  <c r="G152" s="1"/>
  <c r="F151"/>
  <c r="N151"/>
  <c r="N152" s="1"/>
  <c r="I151"/>
  <c r="I152" s="1"/>
  <c r="H151"/>
  <c r="H152" s="1"/>
  <c r="S151"/>
  <c r="S152" s="1"/>
  <c r="U151"/>
  <c r="U152" s="1"/>
  <c r="Y151"/>
  <c r="Y152" s="1"/>
  <c r="P151"/>
  <c r="P152" s="1"/>
  <c r="V151"/>
  <c r="V152" s="1"/>
  <c r="L151"/>
  <c r="L152" s="1"/>
  <c r="O151"/>
  <c r="O152" s="1"/>
  <c r="AC151"/>
  <c r="AC152" s="1"/>
  <c r="AB151"/>
  <c r="AB152" s="1"/>
  <c r="K151"/>
  <c r="K152" s="1"/>
  <c r="Z151"/>
  <c r="Z152" s="1"/>
  <c r="M151"/>
  <c r="M152" s="1"/>
  <c r="Q151"/>
  <c r="Q152" s="1"/>
  <c r="J151"/>
  <c r="J152" s="1"/>
  <c r="AA151"/>
  <c r="AA152" s="1"/>
  <c r="R151"/>
  <c r="R152" s="1"/>
  <c r="X151"/>
  <c r="X152" s="1"/>
  <c r="T151"/>
  <c r="T152" s="1"/>
  <c r="W151"/>
  <c r="W152" s="1"/>
  <c r="D160" i="45"/>
  <c r="G154"/>
  <c r="G155" s="1"/>
  <c r="F154"/>
  <c r="AC154"/>
  <c r="AC155" s="1"/>
  <c r="W154"/>
  <c r="W155" s="1"/>
  <c r="X154"/>
  <c r="X155" s="1"/>
  <c r="T154"/>
  <c r="T155" s="1"/>
  <c r="O154"/>
  <c r="O155" s="1"/>
  <c r="N154"/>
  <c r="N155" s="1"/>
  <c r="U154"/>
  <c r="U155" s="1"/>
  <c r="R154"/>
  <c r="R155" s="1"/>
  <c r="H154"/>
  <c r="H155" s="1"/>
  <c r="M154"/>
  <c r="M155" s="1"/>
  <c r="S154"/>
  <c r="S155" s="1"/>
  <c r="L154"/>
  <c r="L155" s="1"/>
  <c r="Q154"/>
  <c r="Q155" s="1"/>
  <c r="J154"/>
  <c r="J155" s="1"/>
  <c r="AA154"/>
  <c r="AA155" s="1"/>
  <c r="K154"/>
  <c r="K155" s="1"/>
  <c r="Y154"/>
  <c r="Y155" s="1"/>
  <c r="P154"/>
  <c r="P155" s="1"/>
  <c r="V154"/>
  <c r="V155" s="1"/>
  <c r="I154"/>
  <c r="I155" s="1"/>
  <c r="AB154"/>
  <c r="AB155" s="1"/>
  <c r="Z154"/>
  <c r="Z155" s="1"/>
  <c r="G180" i="46"/>
  <c r="G181" s="1"/>
  <c r="F180"/>
  <c r="N180"/>
  <c r="N181" s="1"/>
  <c r="I180"/>
  <c r="I181" s="1"/>
  <c r="H180"/>
  <c r="H181" s="1"/>
  <c r="AB180"/>
  <c r="AB181" s="1"/>
  <c r="T180"/>
  <c r="T181" s="1"/>
  <c r="AC180"/>
  <c r="AC181" s="1"/>
  <c r="K180"/>
  <c r="K181" s="1"/>
  <c r="Y180"/>
  <c r="Y181" s="1"/>
  <c r="R180"/>
  <c r="R181" s="1"/>
  <c r="W180"/>
  <c r="W181" s="1"/>
  <c r="Q180"/>
  <c r="Q181" s="1"/>
  <c r="X180"/>
  <c r="X181" s="1"/>
  <c r="U180"/>
  <c r="U181" s="1"/>
  <c r="S180"/>
  <c r="S181" s="1"/>
  <c r="Z180"/>
  <c r="Z181" s="1"/>
  <c r="M180"/>
  <c r="M181" s="1"/>
  <c r="P180"/>
  <c r="P181" s="1"/>
  <c r="O180"/>
  <c r="O181" s="1"/>
  <c r="L180"/>
  <c r="L181" s="1"/>
  <c r="V180"/>
  <c r="V181" s="1"/>
  <c r="AA180"/>
  <c r="AA181" s="1"/>
  <c r="J180"/>
  <c r="J181" s="1"/>
  <c r="G176"/>
  <c r="G177" s="1"/>
  <c r="F176"/>
  <c r="I176"/>
  <c r="I177" s="1"/>
  <c r="N176"/>
  <c r="N177" s="1"/>
  <c r="H176"/>
  <c r="H177" s="1"/>
  <c r="L176"/>
  <c r="L177" s="1"/>
  <c r="Z176"/>
  <c r="Z177" s="1"/>
  <c r="W176"/>
  <c r="W177" s="1"/>
  <c r="M176"/>
  <c r="M177" s="1"/>
  <c r="Q176"/>
  <c r="Q177" s="1"/>
  <c r="O176"/>
  <c r="O177" s="1"/>
  <c r="J176"/>
  <c r="J177" s="1"/>
  <c r="P176"/>
  <c r="P177" s="1"/>
  <c r="AB176"/>
  <c r="AB177" s="1"/>
  <c r="T176"/>
  <c r="T177" s="1"/>
  <c r="K176"/>
  <c r="K177" s="1"/>
  <c r="Y176"/>
  <c r="Y177" s="1"/>
  <c r="V176"/>
  <c r="V177" s="1"/>
  <c r="AA176"/>
  <c r="AA177" s="1"/>
  <c r="X176"/>
  <c r="X177" s="1"/>
  <c r="AC176"/>
  <c r="AC177" s="1"/>
  <c r="U176"/>
  <c r="U177" s="1"/>
  <c r="S176"/>
  <c r="S177" s="1"/>
  <c r="R176"/>
  <c r="R177" s="1"/>
  <c r="D170"/>
  <c r="F164"/>
  <c r="G164"/>
  <c r="G165" s="1"/>
  <c r="H164"/>
  <c r="H165" s="1"/>
  <c r="I164"/>
  <c r="I165" s="1"/>
  <c r="N164"/>
  <c r="N165" s="1"/>
  <c r="P164"/>
  <c r="P165" s="1"/>
  <c r="L164"/>
  <c r="L165" s="1"/>
  <c r="T164"/>
  <c r="T165" s="1"/>
  <c r="AA164"/>
  <c r="AA165" s="1"/>
  <c r="AC164"/>
  <c r="AC165" s="1"/>
  <c r="O164"/>
  <c r="O165" s="1"/>
  <c r="Z164"/>
  <c r="Z165" s="1"/>
  <c r="M164"/>
  <c r="M165" s="1"/>
  <c r="W164"/>
  <c r="W165" s="1"/>
  <c r="V164"/>
  <c r="V165" s="1"/>
  <c r="R164"/>
  <c r="R165" s="1"/>
  <c r="J164"/>
  <c r="J165" s="1"/>
  <c r="S164"/>
  <c r="S165" s="1"/>
  <c r="Y164"/>
  <c r="Y165" s="1"/>
  <c r="AB164"/>
  <c r="AB165" s="1"/>
  <c r="X164"/>
  <c r="X165" s="1"/>
  <c r="K164"/>
  <c r="K165" s="1"/>
  <c r="Q164"/>
  <c r="Q165" s="1"/>
  <c r="U164"/>
  <c r="U165" s="1"/>
  <c r="G107" i="34"/>
  <c r="G108" s="1"/>
  <c r="F107"/>
  <c r="F108" s="1"/>
  <c r="D173" i="45"/>
  <c r="F167"/>
  <c r="G167"/>
  <c r="G168" s="1"/>
  <c r="N167"/>
  <c r="N168" s="1"/>
  <c r="P167"/>
  <c r="P168" s="1"/>
  <c r="W167"/>
  <c r="W168" s="1"/>
  <c r="X167"/>
  <c r="X168" s="1"/>
  <c r="T167"/>
  <c r="T168" s="1"/>
  <c r="AC167"/>
  <c r="AC168" s="1"/>
  <c r="U167"/>
  <c r="U168" s="1"/>
  <c r="R167"/>
  <c r="R168" s="1"/>
  <c r="V167"/>
  <c r="V168" s="1"/>
  <c r="Y167"/>
  <c r="Y168" s="1"/>
  <c r="AA167"/>
  <c r="AA168" s="1"/>
  <c r="I167"/>
  <c r="I168" s="1"/>
  <c r="Z167"/>
  <c r="Z168" s="1"/>
  <c r="S167"/>
  <c r="S168" s="1"/>
  <c r="Q167"/>
  <c r="Q168" s="1"/>
  <c r="AB167"/>
  <c r="AB168" s="1"/>
  <c r="M167"/>
  <c r="M168" s="1"/>
  <c r="L167"/>
  <c r="L168" s="1"/>
  <c r="K167"/>
  <c r="K168" s="1"/>
  <c r="H167"/>
  <c r="H168" s="1"/>
  <c r="O167"/>
  <c r="O168" s="1"/>
  <c r="J167"/>
  <c r="J168" s="1"/>
  <c r="D158"/>
  <c r="G152"/>
  <c r="G153" s="1"/>
  <c r="F152"/>
  <c r="N152"/>
  <c r="N153" s="1"/>
  <c r="W152"/>
  <c r="W153" s="1"/>
  <c r="X152"/>
  <c r="X153" s="1"/>
  <c r="T152"/>
  <c r="T153" s="1"/>
  <c r="O152"/>
  <c r="O153" s="1"/>
  <c r="AC152"/>
  <c r="AC153" s="1"/>
  <c r="U152"/>
  <c r="U153" s="1"/>
  <c r="R152"/>
  <c r="R153" s="1"/>
  <c r="V152"/>
  <c r="V153" s="1"/>
  <c r="S152"/>
  <c r="S153" s="1"/>
  <c r="L152"/>
  <c r="L153" s="1"/>
  <c r="Q152"/>
  <c r="Q153" s="1"/>
  <c r="J152"/>
  <c r="J153" s="1"/>
  <c r="AA152"/>
  <c r="AA153" s="1"/>
  <c r="K152"/>
  <c r="K153" s="1"/>
  <c r="Y152"/>
  <c r="Y153" s="1"/>
  <c r="M152"/>
  <c r="M153" s="1"/>
  <c r="I152"/>
  <c r="I153" s="1"/>
  <c r="P152"/>
  <c r="P153" s="1"/>
  <c r="AB152"/>
  <c r="AB153" s="1"/>
  <c r="H152"/>
  <c r="H153" s="1"/>
  <c r="Z152"/>
  <c r="Z153" s="1"/>
  <c r="D222" i="35"/>
  <c r="G216"/>
  <c r="G217" s="1"/>
  <c r="F216"/>
  <c r="F217" s="1"/>
  <c r="D154" i="44"/>
  <c r="F148"/>
  <c r="F149" s="1"/>
  <c r="G181" i="45"/>
  <c r="G182" s="1"/>
  <c r="F181"/>
  <c r="P181"/>
  <c r="P182" s="1"/>
  <c r="X181"/>
  <c r="X182" s="1"/>
  <c r="U181"/>
  <c r="U182" s="1"/>
  <c r="T181"/>
  <c r="T182" s="1"/>
  <c r="O181"/>
  <c r="O182" s="1"/>
  <c r="W181"/>
  <c r="W182" s="1"/>
  <c r="Z181"/>
  <c r="Z182" s="1"/>
  <c r="R181"/>
  <c r="R182" s="1"/>
  <c r="AC181"/>
  <c r="AC182" s="1"/>
  <c r="N181"/>
  <c r="N182" s="1"/>
  <c r="Q181"/>
  <c r="Q182" s="1"/>
  <c r="H181"/>
  <c r="H182" s="1"/>
  <c r="Y181"/>
  <c r="Y182" s="1"/>
  <c r="AB181"/>
  <c r="AB182" s="1"/>
  <c r="I181"/>
  <c r="I182" s="1"/>
  <c r="L181"/>
  <c r="L182" s="1"/>
  <c r="AA181"/>
  <c r="AA182" s="1"/>
  <c r="M181"/>
  <c r="M182" s="1"/>
  <c r="V181"/>
  <c r="V182" s="1"/>
  <c r="S181"/>
  <c r="S182" s="1"/>
  <c r="J181"/>
  <c r="J182" s="1"/>
  <c r="K181"/>
  <c r="K182" s="1"/>
  <c r="F177"/>
  <c r="G177"/>
  <c r="G178" s="1"/>
  <c r="U177"/>
  <c r="U178" s="1"/>
  <c r="AC177"/>
  <c r="AC178" s="1"/>
  <c r="O177"/>
  <c r="O178" s="1"/>
  <c r="R177"/>
  <c r="R178" s="1"/>
  <c r="W177"/>
  <c r="W178" s="1"/>
  <c r="P177"/>
  <c r="P178" s="1"/>
  <c r="Z177"/>
  <c r="Z178" s="1"/>
  <c r="X177"/>
  <c r="X178" s="1"/>
  <c r="N177"/>
  <c r="N178" s="1"/>
  <c r="T177"/>
  <c r="T178" s="1"/>
  <c r="AB177"/>
  <c r="AB178" s="1"/>
  <c r="AA177"/>
  <c r="AA178" s="1"/>
  <c r="S177"/>
  <c r="S178" s="1"/>
  <c r="J177"/>
  <c r="J178" s="1"/>
  <c r="K177"/>
  <c r="K178" s="1"/>
  <c r="Q177"/>
  <c r="Q178" s="1"/>
  <c r="M177"/>
  <c r="M178" s="1"/>
  <c r="V177"/>
  <c r="V178" s="1"/>
  <c r="H177"/>
  <c r="H178" s="1"/>
  <c r="L177"/>
  <c r="L178" s="1"/>
  <c r="I177"/>
  <c r="I178" s="1"/>
  <c r="Y177"/>
  <c r="Y178" s="1"/>
  <c r="F180" i="47"/>
  <c r="N180"/>
  <c r="N181" s="1"/>
  <c r="I180"/>
  <c r="I181" s="1"/>
  <c r="G180"/>
  <c r="G181" s="1"/>
  <c r="L180"/>
  <c r="L181" s="1"/>
  <c r="X180"/>
  <c r="X181" s="1"/>
  <c r="M180"/>
  <c r="M181" s="1"/>
  <c r="O180"/>
  <c r="O181" s="1"/>
  <c r="Y180"/>
  <c r="Y181" s="1"/>
  <c r="Q180"/>
  <c r="Q181" s="1"/>
  <c r="T180"/>
  <c r="T181" s="1"/>
  <c r="S180"/>
  <c r="S181" s="1"/>
  <c r="V180"/>
  <c r="V181" s="1"/>
  <c r="U180"/>
  <c r="U181" s="1"/>
  <c r="W180"/>
  <c r="W181" s="1"/>
  <c r="AB180"/>
  <c r="AB181" s="1"/>
  <c r="H180"/>
  <c r="H181" s="1"/>
  <c r="Z180"/>
  <c r="Z181" s="1"/>
  <c r="AC180"/>
  <c r="AC181" s="1"/>
  <c r="P180"/>
  <c r="P181" s="1"/>
  <c r="AA180"/>
  <c r="AA181" s="1"/>
  <c r="K180"/>
  <c r="K181" s="1"/>
  <c r="R180"/>
  <c r="R181" s="1"/>
  <c r="J180"/>
  <c r="J181" s="1"/>
  <c r="D171" i="45"/>
  <c r="G165"/>
  <c r="G166" s="1"/>
  <c r="F165"/>
  <c r="T165"/>
  <c r="T166" s="1"/>
  <c r="P165"/>
  <c r="P166" s="1"/>
  <c r="R165"/>
  <c r="R166" s="1"/>
  <c r="W165"/>
  <c r="W166" s="1"/>
  <c r="AC165"/>
  <c r="AC166" s="1"/>
  <c r="U165"/>
  <c r="U166" s="1"/>
  <c r="N165"/>
  <c r="N166" s="1"/>
  <c r="X165"/>
  <c r="X166" s="1"/>
  <c r="Z165"/>
  <c r="Z166" s="1"/>
  <c r="S165"/>
  <c r="S166" s="1"/>
  <c r="J165"/>
  <c r="J166" s="1"/>
  <c r="V165"/>
  <c r="V166" s="1"/>
  <c r="H165"/>
  <c r="H166" s="1"/>
  <c r="AB165"/>
  <c r="AB166" s="1"/>
  <c r="Y165"/>
  <c r="Y166" s="1"/>
  <c r="AA165"/>
  <c r="AA166" s="1"/>
  <c r="K165"/>
  <c r="K166" s="1"/>
  <c r="O165"/>
  <c r="O166" s="1"/>
  <c r="Q165"/>
  <c r="Q166" s="1"/>
  <c r="I165"/>
  <c r="I166" s="1"/>
  <c r="M165"/>
  <c r="M166" s="1"/>
  <c r="L165"/>
  <c r="L166" s="1"/>
  <c r="D235" i="35"/>
  <c r="G229"/>
  <c r="G230" s="1"/>
  <c r="F229"/>
  <c r="F230" s="1"/>
  <c r="D167" i="44"/>
  <c r="F167" s="1"/>
  <c r="F161"/>
  <c r="F162" s="1"/>
  <c r="D152"/>
  <c r="F146"/>
  <c r="F147" s="1"/>
  <c r="D161" i="47"/>
  <c r="F155"/>
  <c r="N155"/>
  <c r="N156" s="1"/>
  <c r="I155"/>
  <c r="I156" s="1"/>
  <c r="P155"/>
  <c r="P156" s="1"/>
  <c r="V155"/>
  <c r="V156" s="1"/>
  <c r="O155"/>
  <c r="O156" s="1"/>
  <c r="AB155"/>
  <c r="AB156" s="1"/>
  <c r="L155"/>
  <c r="L156" s="1"/>
  <c r="M155"/>
  <c r="M156" s="1"/>
  <c r="Z155"/>
  <c r="Z156" s="1"/>
  <c r="AA155"/>
  <c r="AA156" s="1"/>
  <c r="K155"/>
  <c r="K156" s="1"/>
  <c r="U155"/>
  <c r="U156" s="1"/>
  <c r="G155"/>
  <c r="G156" s="1"/>
  <c r="AC155"/>
  <c r="AC156" s="1"/>
  <c r="J155"/>
  <c r="J156" s="1"/>
  <c r="T155"/>
  <c r="T156" s="1"/>
  <c r="R155"/>
  <c r="R156" s="1"/>
  <c r="Y155"/>
  <c r="Y156" s="1"/>
  <c r="S155"/>
  <c r="S156" s="1"/>
  <c r="W155"/>
  <c r="W156" s="1"/>
  <c r="X155"/>
  <c r="X156" s="1"/>
  <c r="H155"/>
  <c r="H156" s="1"/>
  <c r="Q155"/>
  <c r="Q156" s="1"/>
  <c r="F178" i="46"/>
  <c r="G178"/>
  <c r="G179" s="1"/>
  <c r="N178"/>
  <c r="N179" s="1"/>
  <c r="H178"/>
  <c r="H179" s="1"/>
  <c r="I178"/>
  <c r="I179" s="1"/>
  <c r="V178"/>
  <c r="V179" s="1"/>
  <c r="AA178"/>
  <c r="AA179" s="1"/>
  <c r="X178"/>
  <c r="X179" s="1"/>
  <c r="U178"/>
  <c r="U179" s="1"/>
  <c r="J178"/>
  <c r="J179" s="1"/>
  <c r="P178"/>
  <c r="P179" s="1"/>
  <c r="AB178"/>
  <c r="AB179" s="1"/>
  <c r="T178"/>
  <c r="T179" s="1"/>
  <c r="AC178"/>
  <c r="AC179" s="1"/>
  <c r="M178"/>
  <c r="M179" s="1"/>
  <c r="K178"/>
  <c r="K179" s="1"/>
  <c r="O178"/>
  <c r="O179" s="1"/>
  <c r="L178"/>
  <c r="L179" s="1"/>
  <c r="W178"/>
  <c r="W179" s="1"/>
  <c r="S178"/>
  <c r="S179" s="1"/>
  <c r="R178"/>
  <c r="R179" s="1"/>
  <c r="Z178"/>
  <c r="Z179" s="1"/>
  <c r="Q178"/>
  <c r="Q179" s="1"/>
  <c r="Y178"/>
  <c r="Y179" s="1"/>
  <c r="F105" i="34"/>
  <c r="F106" s="1"/>
  <c r="F144" s="1"/>
  <c r="F145" s="1"/>
  <c r="B94" i="24" s="1"/>
  <c r="G105" i="34"/>
  <c r="G106" s="1"/>
  <c r="G144" s="1"/>
  <c r="G145" s="1"/>
  <c r="C94" i="24" s="1"/>
  <c r="D172" i="47"/>
  <c r="G166"/>
  <c r="G167" s="1"/>
  <c r="F166"/>
  <c r="I166"/>
  <c r="I167" s="1"/>
  <c r="N166"/>
  <c r="N167" s="1"/>
  <c r="V166"/>
  <c r="V167" s="1"/>
  <c r="K166"/>
  <c r="K167" s="1"/>
  <c r="H166"/>
  <c r="H167" s="1"/>
  <c r="T166"/>
  <c r="T167" s="1"/>
  <c r="J166"/>
  <c r="J167" s="1"/>
  <c r="Q166"/>
  <c r="Q167" s="1"/>
  <c r="R166"/>
  <c r="R167" s="1"/>
  <c r="U166"/>
  <c r="U167" s="1"/>
  <c r="S166"/>
  <c r="S167" s="1"/>
  <c r="AB166"/>
  <c r="AB167" s="1"/>
  <c r="Y166"/>
  <c r="Y167" s="1"/>
  <c r="Z166"/>
  <c r="Z167" s="1"/>
  <c r="X166"/>
  <c r="X167" s="1"/>
  <c r="P166"/>
  <c r="P167" s="1"/>
  <c r="O166"/>
  <c r="O167" s="1"/>
  <c r="AA166"/>
  <c r="AA167" s="1"/>
  <c r="L166"/>
  <c r="L167" s="1"/>
  <c r="W166"/>
  <c r="W167" s="1"/>
  <c r="M166"/>
  <c r="M167" s="1"/>
  <c r="AC166"/>
  <c r="AC167" s="1"/>
  <c r="F168"/>
  <c r="G168"/>
  <c r="G169" s="1"/>
  <c r="D174"/>
  <c r="N168"/>
  <c r="N169" s="1"/>
  <c r="I168"/>
  <c r="I169" s="1"/>
  <c r="Q168"/>
  <c r="Q169" s="1"/>
  <c r="L168"/>
  <c r="L169" s="1"/>
  <c r="Y168"/>
  <c r="Y169" s="1"/>
  <c r="M168"/>
  <c r="M169" s="1"/>
  <c r="AC168"/>
  <c r="AC169" s="1"/>
  <c r="J168"/>
  <c r="J169" s="1"/>
  <c r="P168"/>
  <c r="P169" s="1"/>
  <c r="K168"/>
  <c r="K169" s="1"/>
  <c r="AB168"/>
  <c r="AB169" s="1"/>
  <c r="R168"/>
  <c r="R169" s="1"/>
  <c r="O168"/>
  <c r="O169" s="1"/>
  <c r="W168"/>
  <c r="W169" s="1"/>
  <c r="Z168"/>
  <c r="Z169" s="1"/>
  <c r="X168"/>
  <c r="X169" s="1"/>
  <c r="U168"/>
  <c r="U169" s="1"/>
  <c r="T168"/>
  <c r="T169" s="1"/>
  <c r="S168"/>
  <c r="S169" s="1"/>
  <c r="V168"/>
  <c r="V169" s="1"/>
  <c r="H168"/>
  <c r="H169" s="1"/>
  <c r="AA168"/>
  <c r="AA169" s="1"/>
  <c r="F214" i="35"/>
  <c r="F215" s="1"/>
  <c r="F266" s="1"/>
  <c r="G214"/>
  <c r="G215" s="1"/>
  <c r="D220"/>
  <c r="D159" i="47"/>
  <c r="F153"/>
  <c r="I153"/>
  <c r="I154" s="1"/>
  <c r="N153"/>
  <c r="N154" s="1"/>
  <c r="N202" s="1"/>
  <c r="N203" s="1"/>
  <c r="J82" i="24" s="1"/>
  <c r="R153" i="47"/>
  <c r="R154" s="1"/>
  <c r="Y153"/>
  <c r="Y154" s="1"/>
  <c r="Z153"/>
  <c r="Z154" s="1"/>
  <c r="W153"/>
  <c r="W154" s="1"/>
  <c r="W202" s="1"/>
  <c r="W203" s="1"/>
  <c r="S82" i="24" s="1"/>
  <c r="Q153" i="47"/>
  <c r="Q154" s="1"/>
  <c r="U153"/>
  <c r="U154" s="1"/>
  <c r="P153"/>
  <c r="P154" s="1"/>
  <c r="V153"/>
  <c r="V154" s="1"/>
  <c r="V202" s="1"/>
  <c r="V203" s="1"/>
  <c r="R82" i="24" s="1"/>
  <c r="O153" i="47"/>
  <c r="O154" s="1"/>
  <c r="L153"/>
  <c r="L154" s="1"/>
  <c r="J153"/>
  <c r="J154" s="1"/>
  <c r="J202" s="1"/>
  <c r="M153"/>
  <c r="M154" s="1"/>
  <c r="M202" s="1"/>
  <c r="S153"/>
  <c r="S154" s="1"/>
  <c r="AA153"/>
  <c r="AA154" s="1"/>
  <c r="X153"/>
  <c r="X154" s="1"/>
  <c r="X202" s="1"/>
  <c r="X203" s="1"/>
  <c r="T82" i="24" s="1"/>
  <c r="H153" i="47"/>
  <c r="H154" s="1"/>
  <c r="H202" s="1"/>
  <c r="K153"/>
  <c r="K154" s="1"/>
  <c r="G153"/>
  <c r="G154" s="1"/>
  <c r="AC153"/>
  <c r="AC154" s="1"/>
  <c r="AB153"/>
  <c r="AB154" s="1"/>
  <c r="AB202" s="1"/>
  <c r="AB203" s="1"/>
  <c r="X82" i="24" s="1"/>
  <c r="T153" i="47"/>
  <c r="T154" s="1"/>
  <c r="D159" i="46"/>
  <c r="F153"/>
  <c r="G153"/>
  <c r="G154" s="1"/>
  <c r="N153"/>
  <c r="N154" s="1"/>
  <c r="I153"/>
  <c r="I154" s="1"/>
  <c r="H153"/>
  <c r="H154" s="1"/>
  <c r="T153"/>
  <c r="T154" s="1"/>
  <c r="O153"/>
  <c r="O154" s="1"/>
  <c r="AC153"/>
  <c r="AC154" s="1"/>
  <c r="W153"/>
  <c r="W154" s="1"/>
  <c r="S153"/>
  <c r="S154" s="1"/>
  <c r="X153"/>
  <c r="X154" s="1"/>
  <c r="Z153"/>
  <c r="Z154" s="1"/>
  <c r="P153"/>
  <c r="P154" s="1"/>
  <c r="M153"/>
  <c r="M154" s="1"/>
  <c r="Q153"/>
  <c r="Q154" s="1"/>
  <c r="J153"/>
  <c r="J154" s="1"/>
  <c r="R153"/>
  <c r="R154" s="1"/>
  <c r="L153"/>
  <c r="L154" s="1"/>
  <c r="AB153"/>
  <c r="AB154" s="1"/>
  <c r="K153"/>
  <c r="K154" s="1"/>
  <c r="U153"/>
  <c r="U154" s="1"/>
  <c r="Y153"/>
  <c r="Y154" s="1"/>
  <c r="V153"/>
  <c r="V154" s="1"/>
  <c r="AA153"/>
  <c r="AA154" s="1"/>
  <c r="N21" i="35"/>
  <c r="K32" i="32"/>
  <c r="N30" i="35" s="1"/>
  <c r="L254" i="45"/>
  <c r="L233"/>
  <c r="H121"/>
  <c r="H212" s="1"/>
  <c r="D212" s="1"/>
  <c r="H252"/>
  <c r="H231"/>
  <c r="D210"/>
  <c r="N222" i="35"/>
  <c r="N223" s="1"/>
  <c r="E10" i="32"/>
  <c r="H15" i="35" s="1"/>
  <c r="E81" i="32"/>
  <c r="E11" s="1"/>
  <c r="H16" i="35" s="1"/>
  <c r="H83" s="1"/>
  <c r="J251"/>
  <c r="I285"/>
  <c r="I284"/>
  <c r="N220"/>
  <c r="N221" s="1"/>
  <c r="J253"/>
  <c r="I306"/>
  <c r="I305"/>
  <c r="N243" i="47"/>
  <c r="N241"/>
  <c r="N242"/>
  <c r="N244"/>
  <c r="N248"/>
  <c r="O191"/>
  <c r="O250"/>
  <c r="N250"/>
  <c r="N243" i="46"/>
  <c r="N242"/>
  <c r="N241"/>
  <c r="N248"/>
  <c r="O190"/>
  <c r="P247" i="45"/>
  <c r="P246"/>
  <c r="P245"/>
  <c r="P252"/>
  <c r="P254"/>
  <c r="K54" i="35"/>
  <c r="P54"/>
  <c r="M54"/>
  <c r="U54"/>
  <c r="O54"/>
  <c r="Z54"/>
  <c r="Q54"/>
  <c r="H227" i="47"/>
  <c r="H248"/>
  <c r="T54" i="35"/>
  <c r="V54"/>
  <c r="Y54"/>
  <c r="AB54"/>
  <c r="AA54"/>
  <c r="N216"/>
  <c r="N217" s="1"/>
  <c r="N214"/>
  <c r="N215" s="1"/>
  <c r="S54"/>
  <c r="J54"/>
  <c r="J229" i="47"/>
  <c r="J250"/>
  <c r="K229"/>
  <c r="K250"/>
  <c r="F287" i="35"/>
  <c r="F308"/>
  <c r="AC54"/>
  <c r="W54"/>
  <c r="X54"/>
  <c r="R54"/>
  <c r="L54"/>
  <c r="L229" i="47"/>
  <c r="L250"/>
  <c r="M229"/>
  <c r="M250"/>
  <c r="N240" i="44"/>
  <c r="N238"/>
  <c r="N239"/>
  <c r="O185"/>
  <c r="N217"/>
  <c r="N218"/>
  <c r="N219"/>
  <c r="O183"/>
  <c r="N226" i="45"/>
  <c r="N225"/>
  <c r="N224"/>
  <c r="N233"/>
  <c r="N231"/>
  <c r="O189"/>
  <c r="O222" i="46"/>
  <c r="O220"/>
  <c r="O221"/>
  <c r="O227"/>
  <c r="N151" i="35"/>
  <c r="N222" i="47"/>
  <c r="N220"/>
  <c r="N221"/>
  <c r="N227"/>
  <c r="O189"/>
  <c r="O229" s="1"/>
  <c r="H122"/>
  <c r="AD116"/>
  <c r="P188" i="46"/>
  <c r="Q191" i="45"/>
  <c r="N56" i="35"/>
  <c r="AD10"/>
  <c r="K31" i="32"/>
  <c r="N29" i="35" s="1"/>
  <c r="K34" i="32"/>
  <c r="N16" i="35"/>
  <c r="K33" i="32"/>
  <c r="N31" i="35" s="1"/>
  <c r="U82" i="32"/>
  <c r="U12" s="1"/>
  <c r="X17" i="35" s="1"/>
  <c r="X154" s="1"/>
  <c r="X157" s="1"/>
  <c r="U81" i="32"/>
  <c r="U11" s="1"/>
  <c r="Y82"/>
  <c r="Y12" s="1"/>
  <c r="AB17" i="35" s="1"/>
  <c r="AB154" s="1"/>
  <c r="AB157" s="1"/>
  <c r="Y81" i="32"/>
  <c r="Y11" s="1"/>
  <c r="W75"/>
  <c r="W7" s="1"/>
  <c r="Z12" i="35" s="1"/>
  <c r="Z148" s="1"/>
  <c r="W74" i="32"/>
  <c r="W6" s="1"/>
  <c r="Z11" i="35" s="1"/>
  <c r="N74" i="32"/>
  <c r="N6" s="1"/>
  <c r="Q11" i="35" s="1"/>
  <c r="N75" i="32"/>
  <c r="N7" s="1"/>
  <c r="Q12" i="35" s="1"/>
  <c r="Q148" s="1"/>
  <c r="I74" i="32"/>
  <c r="I6" s="1"/>
  <c r="L11" i="35" s="1"/>
  <c r="I75" i="32"/>
  <c r="I7" s="1"/>
  <c r="L12" i="35" s="1"/>
  <c r="L148" s="1"/>
  <c r="P81" i="32"/>
  <c r="P11" s="1"/>
  <c r="P82"/>
  <c r="P12" s="1"/>
  <c r="S17" i="35" s="1"/>
  <c r="S154" s="1"/>
  <c r="N82" i="32"/>
  <c r="N12" s="1"/>
  <c r="Q17" i="35" s="1"/>
  <c r="Q154" s="1"/>
  <c r="Q157" s="1"/>
  <c r="N81" i="32"/>
  <c r="N11" s="1"/>
  <c r="H75"/>
  <c r="H7" s="1"/>
  <c r="K12" i="35" s="1"/>
  <c r="K148" s="1"/>
  <c r="H74" i="32"/>
  <c r="H6" s="1"/>
  <c r="K11" i="35" s="1"/>
  <c r="W81" i="32"/>
  <c r="W11" s="1"/>
  <c r="W82"/>
  <c r="W12" s="1"/>
  <c r="Z17" i="35" s="1"/>
  <c r="Z154" s="1"/>
  <c r="Z157" s="1"/>
  <c r="M74" i="32"/>
  <c r="M6" s="1"/>
  <c r="P11" i="35" s="1"/>
  <c r="M75" i="32"/>
  <c r="M7" s="1"/>
  <c r="P12" i="35" s="1"/>
  <c r="P148" s="1"/>
  <c r="H82" i="32"/>
  <c r="H12" s="1"/>
  <c r="K17" i="35" s="1"/>
  <c r="K154" s="1"/>
  <c r="K157" s="1"/>
  <c r="H81" i="32"/>
  <c r="H11" s="1"/>
  <c r="V82"/>
  <c r="V12" s="1"/>
  <c r="Y17" i="35" s="1"/>
  <c r="Y154" s="1"/>
  <c r="Y157" s="1"/>
  <c r="V81" i="32"/>
  <c r="V11" s="1"/>
  <c r="G81"/>
  <c r="G11" s="1"/>
  <c r="G82"/>
  <c r="G12" s="1"/>
  <c r="J17" i="35" s="1"/>
  <c r="J154" s="1"/>
  <c r="J157" s="1"/>
  <c r="Q74" i="32"/>
  <c r="Q6" s="1"/>
  <c r="T11" i="35" s="1"/>
  <c r="Q75" i="32"/>
  <c r="Q7" s="1"/>
  <c r="T12" i="35" s="1"/>
  <c r="T148" s="1"/>
  <c r="E75" i="32"/>
  <c r="E7" s="1"/>
  <c r="H12" i="35" s="1"/>
  <c r="H148" s="1"/>
  <c r="E74" i="32"/>
  <c r="E6" s="1"/>
  <c r="L74"/>
  <c r="L6" s="1"/>
  <c r="O11" i="35" s="1"/>
  <c r="L75" i="32"/>
  <c r="L7" s="1"/>
  <c r="O12" i="35" s="1"/>
  <c r="O148" s="1"/>
  <c r="U74" i="32"/>
  <c r="U6" s="1"/>
  <c r="X11" i="35" s="1"/>
  <c r="U75" i="32"/>
  <c r="U7" s="1"/>
  <c r="X12" i="35" s="1"/>
  <c r="X148" s="1"/>
  <c r="T82" i="32"/>
  <c r="T12" s="1"/>
  <c r="W17" i="35" s="1"/>
  <c r="W154" s="1"/>
  <c r="W157" s="1"/>
  <c r="T81" i="32"/>
  <c r="T11" s="1"/>
  <c r="R82"/>
  <c r="R12" s="1"/>
  <c r="U17" i="35" s="1"/>
  <c r="U154" s="1"/>
  <c r="U157" s="1"/>
  <c r="R81" i="32"/>
  <c r="R11" s="1"/>
  <c r="E82"/>
  <c r="E12" s="1"/>
  <c r="L81"/>
  <c r="L11" s="1"/>
  <c r="L82"/>
  <c r="L12" s="1"/>
  <c r="O17" i="35" s="1"/>
  <c r="O154" s="1"/>
  <c r="O157" s="1"/>
  <c r="L94" i="32"/>
  <c r="L21" s="1"/>
  <c r="O26" i="35" s="1"/>
  <c r="O164" s="1"/>
  <c r="L93" i="32"/>
  <c r="L20" s="1"/>
  <c r="O25" i="35" s="1"/>
  <c r="O107" s="1"/>
  <c r="L92" i="32"/>
  <c r="L19" s="1"/>
  <c r="O24" i="35" s="1"/>
  <c r="O159" s="1"/>
  <c r="L91" i="32"/>
  <c r="L18" s="1"/>
  <c r="O23" i="35" s="1"/>
  <c r="O106" s="1"/>
  <c r="L90" i="32"/>
  <c r="L17" s="1"/>
  <c r="O22" i="35" s="1"/>
  <c r="O105" s="1"/>
  <c r="L89" i="32"/>
  <c r="L16" s="1"/>
  <c r="L88"/>
  <c r="L15" s="1"/>
  <c r="O20" i="35" s="1"/>
  <c r="O103" s="1"/>
  <c r="Z74" i="32"/>
  <c r="Z6" s="1"/>
  <c r="AC11" i="35" s="1"/>
  <c r="Z75" i="32"/>
  <c r="Z7" s="1"/>
  <c r="AC12" i="35" s="1"/>
  <c r="AC148" s="1"/>
  <c r="F82" i="32"/>
  <c r="F12" s="1"/>
  <c r="I17" i="35" s="1"/>
  <c r="I154" s="1"/>
  <c r="I157" s="1"/>
  <c r="F81" i="32"/>
  <c r="F11" s="1"/>
  <c r="X82"/>
  <c r="X12" s="1"/>
  <c r="AA17" i="35" s="1"/>
  <c r="AA154" s="1"/>
  <c r="AA157" s="1"/>
  <c r="X81" i="32"/>
  <c r="X11" s="1"/>
  <c r="P75"/>
  <c r="P7" s="1"/>
  <c r="S12" i="35" s="1"/>
  <c r="S148" s="1"/>
  <c r="P74" i="32"/>
  <c r="P6" s="1"/>
  <c r="S11" i="35" s="1"/>
  <c r="O81" i="32"/>
  <c r="O11" s="1"/>
  <c r="O82"/>
  <c r="O12" s="1"/>
  <c r="R17" i="35" s="1"/>
  <c r="R154" s="1"/>
  <c r="R157" s="1"/>
  <c r="G74" i="32"/>
  <c r="G6" s="1"/>
  <c r="J11" i="35" s="1"/>
  <c r="G75" i="32"/>
  <c r="G7" s="1"/>
  <c r="J12" i="35" s="1"/>
  <c r="J148" s="1"/>
  <c r="S74" i="32"/>
  <c r="S6" s="1"/>
  <c r="V11" i="35" s="1"/>
  <c r="S75" i="32"/>
  <c r="S7" s="1"/>
  <c r="V12" i="35" s="1"/>
  <c r="V148" s="1"/>
  <c r="Z82" i="32"/>
  <c r="Z12" s="1"/>
  <c r="AC17" i="35" s="1"/>
  <c r="AC154" s="1"/>
  <c r="Z81" i="32"/>
  <c r="Z11" s="1"/>
  <c r="V74"/>
  <c r="V6" s="1"/>
  <c r="Y11" i="35" s="1"/>
  <c r="V75" i="32"/>
  <c r="V7" s="1"/>
  <c r="Y12" i="35" s="1"/>
  <c r="Y148" s="1"/>
  <c r="J74" i="32"/>
  <c r="J6" s="1"/>
  <c r="M11" i="35" s="1"/>
  <c r="J75" i="32"/>
  <c r="J7" s="1"/>
  <c r="M12" i="35" s="1"/>
  <c r="M148" s="1"/>
  <c r="T74" i="32"/>
  <c r="T6" s="1"/>
  <c r="W11" i="35" s="1"/>
  <c r="T75" i="32"/>
  <c r="T7" s="1"/>
  <c r="W12" i="35" s="1"/>
  <c r="W148" s="1"/>
  <c r="R74" i="32"/>
  <c r="R6" s="1"/>
  <c r="U11" i="35" s="1"/>
  <c r="R75" i="32"/>
  <c r="R7" s="1"/>
  <c r="U12" i="35" s="1"/>
  <c r="U148" s="1"/>
  <c r="S81" i="32"/>
  <c r="S11" s="1"/>
  <c r="S82"/>
  <c r="S12" s="1"/>
  <c r="V17" i="35" s="1"/>
  <c r="V154" s="1"/>
  <c r="V157" s="1"/>
  <c r="M82" i="32"/>
  <c r="M12" s="1"/>
  <c r="P17" i="35" s="1"/>
  <c r="P154" s="1"/>
  <c r="P157" s="1"/>
  <c r="M81" i="32"/>
  <c r="M11" s="1"/>
  <c r="J82"/>
  <c r="J12" s="1"/>
  <c r="M17" i="35" s="1"/>
  <c r="M154" s="1"/>
  <c r="M157" s="1"/>
  <c r="J81" i="32"/>
  <c r="J11" s="1"/>
  <c r="Y74"/>
  <c r="Y6" s="1"/>
  <c r="AB11" i="35" s="1"/>
  <c r="Y75" i="32"/>
  <c r="Y7" s="1"/>
  <c r="AB12" i="35" s="1"/>
  <c r="AB148" s="1"/>
  <c r="F74" i="32"/>
  <c r="F6" s="1"/>
  <c r="I11" i="35" s="1"/>
  <c r="F75" i="32"/>
  <c r="F7" s="1"/>
  <c r="I12" i="35" s="1"/>
  <c r="X75" i="32"/>
  <c r="X7" s="1"/>
  <c r="AA12" i="35" s="1"/>
  <c r="AA148" s="1"/>
  <c r="X74" i="32"/>
  <c r="X6" s="1"/>
  <c r="AA11" i="35" s="1"/>
  <c r="Q81" i="32"/>
  <c r="Q11" s="1"/>
  <c r="Q82"/>
  <c r="Q12" s="1"/>
  <c r="T17" i="35" s="1"/>
  <c r="T154" s="1"/>
  <c r="T157" s="1"/>
  <c r="O74" i="32"/>
  <c r="O6" s="1"/>
  <c r="R11" i="35" s="1"/>
  <c r="O75" i="32"/>
  <c r="O7" s="1"/>
  <c r="R12" i="35" s="1"/>
  <c r="R148" s="1"/>
  <c r="I82" i="32"/>
  <c r="I12" s="1"/>
  <c r="L17" i="35" s="1"/>
  <c r="L154" s="1"/>
  <c r="L157" s="1"/>
  <c r="I81" i="32"/>
  <c r="I11" s="1"/>
  <c r="M85"/>
  <c r="M86" s="1"/>
  <c r="D281" i="29"/>
  <c r="AB15" i="10"/>
  <c r="AB12"/>
  <c r="H201" i="29"/>
  <c r="G201"/>
  <c r="H195"/>
  <c r="G195"/>
  <c r="H190"/>
  <c r="G190"/>
  <c r="H185"/>
  <c r="G185"/>
  <c r="H179"/>
  <c r="G179"/>
  <c r="D52" i="34"/>
  <c r="C167" i="9"/>
  <c r="C162"/>
  <c r="D44" i="34" s="1"/>
  <c r="C161" i="9"/>
  <c r="AC18" i="34"/>
  <c r="AB18"/>
  <c r="AA18"/>
  <c r="Z18"/>
  <c r="Y18"/>
  <c r="X18"/>
  <c r="W18"/>
  <c r="V18"/>
  <c r="U18"/>
  <c r="T18"/>
  <c r="S18"/>
  <c r="R18"/>
  <c r="Q18"/>
  <c r="P18"/>
  <c r="O18"/>
  <c r="N18"/>
  <c r="M18"/>
  <c r="L18"/>
  <c r="K18"/>
  <c r="J18"/>
  <c r="I18"/>
  <c r="H18"/>
  <c r="C42" i="9"/>
  <c r="D51" i="34" s="1"/>
  <c r="C39" i="9"/>
  <c r="D43" i="34" s="1"/>
  <c r="F7" i="33"/>
  <c r="G12"/>
  <c r="H12" s="1"/>
  <c r="E9"/>
  <c r="E8"/>
  <c r="E7"/>
  <c r="G202" i="47" l="1"/>
  <c r="L202"/>
  <c r="L223" s="1"/>
  <c r="L224" s="1"/>
  <c r="I206"/>
  <c r="AD64"/>
  <c r="K202"/>
  <c r="K223" s="1"/>
  <c r="K224" s="1"/>
  <c r="S202"/>
  <c r="S203" s="1"/>
  <c r="O82" i="24" s="1"/>
  <c r="Q202" i="47"/>
  <c r="Q203" s="1"/>
  <c r="M82" i="24" s="1"/>
  <c r="AC202" i="47"/>
  <c r="AC203" s="1"/>
  <c r="Y82" i="24" s="1"/>
  <c r="P202" i="47"/>
  <c r="P203" s="1"/>
  <c r="L82" i="24" s="1"/>
  <c r="Z202" i="47"/>
  <c r="Z203" s="1"/>
  <c r="V82" i="24" s="1"/>
  <c r="I202" i="47"/>
  <c r="I244" s="1"/>
  <c r="T202"/>
  <c r="T203" s="1"/>
  <c r="P82" i="24" s="1"/>
  <c r="O202" i="47"/>
  <c r="O203" s="1"/>
  <c r="K82" i="24" s="1"/>
  <c r="N223" i="47"/>
  <c r="N224" s="1"/>
  <c r="AA202"/>
  <c r="AA203" s="1"/>
  <c r="W82" i="24" s="1"/>
  <c r="U202" i="47"/>
  <c r="U203" s="1"/>
  <c r="Q82" i="24" s="1"/>
  <c r="Y202" i="47"/>
  <c r="Y203" s="1"/>
  <c r="U82" i="24" s="1"/>
  <c r="K203" i="47"/>
  <c r="G82" i="24" s="1"/>
  <c r="F159" i="47"/>
  <c r="N159"/>
  <c r="N160" s="1"/>
  <c r="I159"/>
  <c r="I160" s="1"/>
  <c r="L159"/>
  <c r="L160" s="1"/>
  <c r="Q159"/>
  <c r="Q160" s="1"/>
  <c r="G159"/>
  <c r="G160" s="1"/>
  <c r="X159"/>
  <c r="X160" s="1"/>
  <c r="U159"/>
  <c r="U160" s="1"/>
  <c r="R159"/>
  <c r="R160" s="1"/>
  <c r="H159"/>
  <c r="H160" s="1"/>
  <c r="O159"/>
  <c r="O160" s="1"/>
  <c r="S159"/>
  <c r="S160" s="1"/>
  <c r="W159"/>
  <c r="W160" s="1"/>
  <c r="AA159"/>
  <c r="AA160" s="1"/>
  <c r="P159"/>
  <c r="P160" s="1"/>
  <c r="AC159"/>
  <c r="AC160" s="1"/>
  <c r="AB159"/>
  <c r="AB160" s="1"/>
  <c r="M159"/>
  <c r="M160" s="1"/>
  <c r="Z159"/>
  <c r="Z160" s="1"/>
  <c r="J159"/>
  <c r="J160" s="1"/>
  <c r="T159"/>
  <c r="T160" s="1"/>
  <c r="Y159"/>
  <c r="Y160" s="1"/>
  <c r="K159"/>
  <c r="K160" s="1"/>
  <c r="V159"/>
  <c r="V160" s="1"/>
  <c r="F169"/>
  <c r="AD169" s="1"/>
  <c r="AD168"/>
  <c r="F156"/>
  <c r="AD155"/>
  <c r="G235" i="35"/>
  <c r="G236" s="1"/>
  <c r="F235"/>
  <c r="F236" s="1"/>
  <c r="F182" i="45"/>
  <c r="AD182" s="1"/>
  <c r="AD181"/>
  <c r="F153"/>
  <c r="AD153" s="1"/>
  <c r="AD152"/>
  <c r="F152" i="46"/>
  <c r="AD151"/>
  <c r="F233" i="35"/>
  <c r="F234" s="1"/>
  <c r="G233"/>
  <c r="G234" s="1"/>
  <c r="F179" i="47"/>
  <c r="AD179" s="1"/>
  <c r="AD178"/>
  <c r="F183"/>
  <c r="AD183" s="1"/>
  <c r="AD182"/>
  <c r="R202"/>
  <c r="R203" s="1"/>
  <c r="N82" i="24" s="1"/>
  <c r="F199" i="44"/>
  <c r="AB206" i="45"/>
  <c r="AB207" s="1"/>
  <c r="X86" i="24" s="1"/>
  <c r="Y206" i="45"/>
  <c r="Y207" s="1"/>
  <c r="U86" i="24" s="1"/>
  <c r="Q206" i="45"/>
  <c r="Q207" s="1"/>
  <c r="M86" i="24" s="1"/>
  <c r="R206" i="45"/>
  <c r="R207" s="1"/>
  <c r="N86" i="24" s="1"/>
  <c r="T206" i="45"/>
  <c r="T207" s="1"/>
  <c r="P86" i="24" s="1"/>
  <c r="X202" i="46"/>
  <c r="X203" s="1"/>
  <c r="T88" i="24" s="1"/>
  <c r="Q202" i="46"/>
  <c r="Q203" s="1"/>
  <c r="M88" i="24" s="1"/>
  <c r="AB202" i="46"/>
  <c r="AB203" s="1"/>
  <c r="X88" i="24" s="1"/>
  <c r="V202" i="46"/>
  <c r="V203" s="1"/>
  <c r="R88" i="24" s="1"/>
  <c r="S202" i="46"/>
  <c r="S203" s="1"/>
  <c r="O88" i="24" s="1"/>
  <c r="F159" i="46"/>
  <c r="G159"/>
  <c r="G160" s="1"/>
  <c r="I159"/>
  <c r="I160" s="1"/>
  <c r="N159"/>
  <c r="N160" s="1"/>
  <c r="H159"/>
  <c r="H160" s="1"/>
  <c r="R159"/>
  <c r="R160" s="1"/>
  <c r="K159"/>
  <c r="K160" s="1"/>
  <c r="S159"/>
  <c r="S160" s="1"/>
  <c r="P159"/>
  <c r="P160" s="1"/>
  <c r="L159"/>
  <c r="L160" s="1"/>
  <c r="Z159"/>
  <c r="Z160" s="1"/>
  <c r="Y159"/>
  <c r="Y160" s="1"/>
  <c r="Q159"/>
  <c r="Q160" s="1"/>
  <c r="J159"/>
  <c r="J160" s="1"/>
  <c r="O159"/>
  <c r="O160" s="1"/>
  <c r="M159"/>
  <c r="M160" s="1"/>
  <c r="AC159"/>
  <c r="AC160" s="1"/>
  <c r="AB159"/>
  <c r="AB160" s="1"/>
  <c r="X159"/>
  <c r="X160" s="1"/>
  <c r="T159"/>
  <c r="T160" s="1"/>
  <c r="U159"/>
  <c r="U160" s="1"/>
  <c r="AA159"/>
  <c r="AA160" s="1"/>
  <c r="W159"/>
  <c r="W160" s="1"/>
  <c r="V159"/>
  <c r="V160" s="1"/>
  <c r="G203" i="47"/>
  <c r="C82" i="24" s="1"/>
  <c r="G223" i="47"/>
  <c r="G224" s="1"/>
  <c r="G244"/>
  <c r="L203"/>
  <c r="H82" i="24" s="1"/>
  <c r="F154" i="47"/>
  <c r="AD153"/>
  <c r="F167"/>
  <c r="AD167" s="1"/>
  <c r="AD166"/>
  <c r="F179" i="46"/>
  <c r="AD179" s="1"/>
  <c r="AD178"/>
  <c r="F166" i="45"/>
  <c r="AD165"/>
  <c r="G173"/>
  <c r="G174" s="1"/>
  <c r="F173"/>
  <c r="P173"/>
  <c r="P174" s="1"/>
  <c r="AC173"/>
  <c r="AC174" s="1"/>
  <c r="W173"/>
  <c r="W174" s="1"/>
  <c r="N173"/>
  <c r="N174" s="1"/>
  <c r="X173"/>
  <c r="X174" s="1"/>
  <c r="U173"/>
  <c r="U174" s="1"/>
  <c r="R173"/>
  <c r="R174" s="1"/>
  <c r="T173"/>
  <c r="T174" s="1"/>
  <c r="L173"/>
  <c r="L174" s="1"/>
  <c r="AB173"/>
  <c r="AB174" s="1"/>
  <c r="Y173"/>
  <c r="Y174" s="1"/>
  <c r="I173"/>
  <c r="I174" s="1"/>
  <c r="Q173"/>
  <c r="Q174" s="1"/>
  <c r="M173"/>
  <c r="M174" s="1"/>
  <c r="J173"/>
  <c r="J174" s="1"/>
  <c r="K173"/>
  <c r="K174" s="1"/>
  <c r="O173"/>
  <c r="O174" s="1"/>
  <c r="AA173"/>
  <c r="AA174" s="1"/>
  <c r="S173"/>
  <c r="S174" s="1"/>
  <c r="H173"/>
  <c r="H174" s="1"/>
  <c r="V173"/>
  <c r="V174" s="1"/>
  <c r="Z173"/>
  <c r="Z174" s="1"/>
  <c r="F155"/>
  <c r="AD155" s="1"/>
  <c r="AD154"/>
  <c r="F172" i="46"/>
  <c r="G172"/>
  <c r="G173" s="1"/>
  <c r="N172"/>
  <c r="N173" s="1"/>
  <c r="I172"/>
  <c r="I173" s="1"/>
  <c r="H172"/>
  <c r="H173" s="1"/>
  <c r="L172"/>
  <c r="L173" s="1"/>
  <c r="R172"/>
  <c r="R173" s="1"/>
  <c r="Z172"/>
  <c r="Z173" s="1"/>
  <c r="AB172"/>
  <c r="AB173" s="1"/>
  <c r="X172"/>
  <c r="X173" s="1"/>
  <c r="AC172"/>
  <c r="AC173" s="1"/>
  <c r="S172"/>
  <c r="S173" s="1"/>
  <c r="T172"/>
  <c r="T173" s="1"/>
  <c r="AA172"/>
  <c r="AA173" s="1"/>
  <c r="P172"/>
  <c r="P173" s="1"/>
  <c r="O172"/>
  <c r="O173" s="1"/>
  <c r="M172"/>
  <c r="M173" s="1"/>
  <c r="U172"/>
  <c r="U173" s="1"/>
  <c r="Q172"/>
  <c r="Q173" s="1"/>
  <c r="W172"/>
  <c r="W173" s="1"/>
  <c r="V172"/>
  <c r="V173" s="1"/>
  <c r="K172"/>
  <c r="K173" s="1"/>
  <c r="J172"/>
  <c r="J173" s="1"/>
  <c r="Y172"/>
  <c r="Y173" s="1"/>
  <c r="F180" i="45"/>
  <c r="AD179"/>
  <c r="H206"/>
  <c r="M206"/>
  <c r="J206"/>
  <c r="V206"/>
  <c r="V207" s="1"/>
  <c r="R86" i="24" s="1"/>
  <c r="O206" i="45"/>
  <c r="N206"/>
  <c r="T202" i="46"/>
  <c r="T203" s="1"/>
  <c r="P88" i="24" s="1"/>
  <c r="J202" i="46"/>
  <c r="K202"/>
  <c r="L202"/>
  <c r="U202"/>
  <c r="U203" s="1"/>
  <c r="Q88" i="24" s="1"/>
  <c r="N202" i="46"/>
  <c r="G266" i="35"/>
  <c r="F154" i="46"/>
  <c r="AD154" s="1"/>
  <c r="AD153"/>
  <c r="J223" i="47"/>
  <c r="J224" s="1"/>
  <c r="J244"/>
  <c r="J203"/>
  <c r="F82" i="24" s="1"/>
  <c r="I223" i="47"/>
  <c r="I224" s="1"/>
  <c r="I203"/>
  <c r="E82" i="24" s="1"/>
  <c r="N174" i="47"/>
  <c r="N175" s="1"/>
  <c r="F174"/>
  <c r="I174"/>
  <c r="I175" s="1"/>
  <c r="G174"/>
  <c r="G175" s="1"/>
  <c r="P174"/>
  <c r="P175" s="1"/>
  <c r="J174"/>
  <c r="J175" s="1"/>
  <c r="V174"/>
  <c r="V175" s="1"/>
  <c r="AA174"/>
  <c r="AA175" s="1"/>
  <c r="X174"/>
  <c r="X175" s="1"/>
  <c r="W174"/>
  <c r="W175" s="1"/>
  <c r="Q174"/>
  <c r="Q175" s="1"/>
  <c r="Z174"/>
  <c r="Z175" s="1"/>
  <c r="Y174"/>
  <c r="Y175" s="1"/>
  <c r="AC174"/>
  <c r="AC175" s="1"/>
  <c r="AB174"/>
  <c r="AB175" s="1"/>
  <c r="K174"/>
  <c r="K175" s="1"/>
  <c r="L174"/>
  <c r="L175" s="1"/>
  <c r="U174"/>
  <c r="U175" s="1"/>
  <c r="S174"/>
  <c r="S175" s="1"/>
  <c r="R174"/>
  <c r="R175" s="1"/>
  <c r="T174"/>
  <c r="T175" s="1"/>
  <c r="O174"/>
  <c r="O175" s="1"/>
  <c r="H174"/>
  <c r="H175" s="1"/>
  <c r="M174"/>
  <c r="M175" s="1"/>
  <c r="F168" i="45"/>
  <c r="AD167"/>
  <c r="F170" i="46"/>
  <c r="G170"/>
  <c r="G171" s="1"/>
  <c r="H170"/>
  <c r="H171" s="1"/>
  <c r="I170"/>
  <c r="I171" s="1"/>
  <c r="N170"/>
  <c r="N171" s="1"/>
  <c r="AC170"/>
  <c r="AC171" s="1"/>
  <c r="J170"/>
  <c r="J171" s="1"/>
  <c r="T170"/>
  <c r="T171" s="1"/>
  <c r="Y170"/>
  <c r="Y171" s="1"/>
  <c r="AA170"/>
  <c r="AA171" s="1"/>
  <c r="M170"/>
  <c r="M171" s="1"/>
  <c r="K170"/>
  <c r="K171" s="1"/>
  <c r="U170"/>
  <c r="U171" s="1"/>
  <c r="O170"/>
  <c r="O171" s="1"/>
  <c r="R170"/>
  <c r="R171" s="1"/>
  <c r="AB170"/>
  <c r="AB171" s="1"/>
  <c r="X170"/>
  <c r="X171" s="1"/>
  <c r="W170"/>
  <c r="W171" s="1"/>
  <c r="V170"/>
  <c r="V171" s="1"/>
  <c r="L170"/>
  <c r="L171" s="1"/>
  <c r="S170"/>
  <c r="S171" s="1"/>
  <c r="Z170"/>
  <c r="Z171" s="1"/>
  <c r="Q170"/>
  <c r="Q171" s="1"/>
  <c r="P170"/>
  <c r="P171" s="1"/>
  <c r="F157"/>
  <c r="G157"/>
  <c r="G158" s="1"/>
  <c r="G211" s="1"/>
  <c r="H157"/>
  <c r="H158" s="1"/>
  <c r="H211" s="1"/>
  <c r="I157"/>
  <c r="I158" s="1"/>
  <c r="I211" s="1"/>
  <c r="N157"/>
  <c r="N158" s="1"/>
  <c r="N211" s="1"/>
  <c r="Z157"/>
  <c r="Z158" s="1"/>
  <c r="Z211" s="1"/>
  <c r="U157"/>
  <c r="U158" s="1"/>
  <c r="U211" s="1"/>
  <c r="Y157"/>
  <c r="Y158" s="1"/>
  <c r="Y211" s="1"/>
  <c r="Q157"/>
  <c r="Q158" s="1"/>
  <c r="W157"/>
  <c r="W158" s="1"/>
  <c r="W211" s="1"/>
  <c r="M157"/>
  <c r="M158" s="1"/>
  <c r="M211" s="1"/>
  <c r="M232" s="1"/>
  <c r="V157"/>
  <c r="V158" s="1"/>
  <c r="J157"/>
  <c r="J158" s="1"/>
  <c r="J211" s="1"/>
  <c r="AB157"/>
  <c r="AB158" s="1"/>
  <c r="X157"/>
  <c r="X158" s="1"/>
  <c r="X211" s="1"/>
  <c r="K157"/>
  <c r="K158" s="1"/>
  <c r="K211" s="1"/>
  <c r="K253" s="1"/>
  <c r="AC157"/>
  <c r="AC158" s="1"/>
  <c r="AC211" s="1"/>
  <c r="S157"/>
  <c r="S158" s="1"/>
  <c r="S211" s="1"/>
  <c r="AA157"/>
  <c r="AA158" s="1"/>
  <c r="AA211" s="1"/>
  <c r="P157"/>
  <c r="P158" s="1"/>
  <c r="L157"/>
  <c r="L158" s="1"/>
  <c r="L211" s="1"/>
  <c r="R157"/>
  <c r="R158" s="1"/>
  <c r="R211" s="1"/>
  <c r="T157"/>
  <c r="T158" s="1"/>
  <c r="T211" s="1"/>
  <c r="O157"/>
  <c r="O158" s="1"/>
  <c r="O211" s="1"/>
  <c r="F167"/>
  <c r="AD167" s="1"/>
  <c r="AD166"/>
  <c r="AD156" i="47"/>
  <c r="AD166" i="45"/>
  <c r="Z206"/>
  <c r="Z207" s="1"/>
  <c r="V86" i="24" s="1"/>
  <c r="I206" i="45"/>
  <c r="AA206"/>
  <c r="AA207" s="1"/>
  <c r="W86" i="24" s="1"/>
  <c r="S206" i="45"/>
  <c r="S207" s="1"/>
  <c r="O86" i="24" s="1"/>
  <c r="AC206" i="45"/>
  <c r="AC207" s="1"/>
  <c r="Y86" i="24" s="1"/>
  <c r="W206" i="45"/>
  <c r="W207" s="1"/>
  <c r="S86" i="24" s="1"/>
  <c r="AC183" i="46"/>
  <c r="Y183"/>
  <c r="P211"/>
  <c r="M183"/>
  <c r="W202"/>
  <c r="W203" s="1"/>
  <c r="S88" i="24" s="1"/>
  <c r="AA202" i="46"/>
  <c r="AA203" s="1"/>
  <c r="W88" i="24" s="1"/>
  <c r="Z202" i="46"/>
  <c r="Z203" s="1"/>
  <c r="V88" i="24" s="1"/>
  <c r="O202" i="46"/>
  <c r="Y202"/>
  <c r="Y203" s="1"/>
  <c r="U88" i="24" s="1"/>
  <c r="I202" i="46"/>
  <c r="H203" i="47"/>
  <c r="D82" i="24" s="1"/>
  <c r="H244" i="47"/>
  <c r="H223"/>
  <c r="H224" s="1"/>
  <c r="M203"/>
  <c r="I82" i="24" s="1"/>
  <c r="M244" i="47"/>
  <c r="M223"/>
  <c r="M224" s="1"/>
  <c r="F220" i="35"/>
  <c r="F221" s="1"/>
  <c r="G220"/>
  <c r="G221" s="1"/>
  <c r="N172" i="47"/>
  <c r="N173" s="1"/>
  <c r="G172"/>
  <c r="G173" s="1"/>
  <c r="F172"/>
  <c r="I172"/>
  <c r="I173" s="1"/>
  <c r="T172"/>
  <c r="T173" s="1"/>
  <c r="O172"/>
  <c r="O173" s="1"/>
  <c r="H172"/>
  <c r="H173" s="1"/>
  <c r="M172"/>
  <c r="M173" s="1"/>
  <c r="P172"/>
  <c r="P173" s="1"/>
  <c r="J172"/>
  <c r="J173" s="1"/>
  <c r="V172"/>
  <c r="V173" s="1"/>
  <c r="AA172"/>
  <c r="AA173" s="1"/>
  <c r="X172"/>
  <c r="X173" s="1"/>
  <c r="W172"/>
  <c r="W173" s="1"/>
  <c r="Q172"/>
  <c r="Q173" s="1"/>
  <c r="Z172"/>
  <c r="Z173" s="1"/>
  <c r="Y172"/>
  <c r="Y173" s="1"/>
  <c r="AC172"/>
  <c r="AC173" s="1"/>
  <c r="AB172"/>
  <c r="AB173" s="1"/>
  <c r="K172"/>
  <c r="K173" s="1"/>
  <c r="L172"/>
  <c r="L173" s="1"/>
  <c r="U172"/>
  <c r="U173" s="1"/>
  <c r="S172"/>
  <c r="S173" s="1"/>
  <c r="R172"/>
  <c r="R173" s="1"/>
  <c r="F161"/>
  <c r="N161"/>
  <c r="N162" s="1"/>
  <c r="I161"/>
  <c r="I162" s="1"/>
  <c r="G161"/>
  <c r="G162" s="1"/>
  <c r="Z161"/>
  <c r="Z162" s="1"/>
  <c r="X161"/>
  <c r="X162" s="1"/>
  <c r="T161"/>
  <c r="T162" s="1"/>
  <c r="U161"/>
  <c r="U162" s="1"/>
  <c r="H161"/>
  <c r="H162" s="1"/>
  <c r="V161"/>
  <c r="V162" s="1"/>
  <c r="W161"/>
  <c r="W162" s="1"/>
  <c r="P161"/>
  <c r="P162" s="1"/>
  <c r="M161"/>
  <c r="M162" s="1"/>
  <c r="J161"/>
  <c r="J162" s="1"/>
  <c r="Y161"/>
  <c r="Y162" s="1"/>
  <c r="K161"/>
  <c r="K162" s="1"/>
  <c r="R161"/>
  <c r="R162" s="1"/>
  <c r="O161"/>
  <c r="O162" s="1"/>
  <c r="L161"/>
  <c r="L162" s="1"/>
  <c r="S161"/>
  <c r="S162" s="1"/>
  <c r="AA161"/>
  <c r="AA162" s="1"/>
  <c r="Q161"/>
  <c r="Q162" s="1"/>
  <c r="AC161"/>
  <c r="AC162" s="1"/>
  <c r="AB161"/>
  <c r="AB162" s="1"/>
  <c r="G171" i="45"/>
  <c r="G172" s="1"/>
  <c r="F171"/>
  <c r="W171"/>
  <c r="W172" s="1"/>
  <c r="X171"/>
  <c r="X172" s="1"/>
  <c r="U171"/>
  <c r="U172" s="1"/>
  <c r="T171"/>
  <c r="T172" s="1"/>
  <c r="AC171"/>
  <c r="AC172" s="1"/>
  <c r="P171"/>
  <c r="P172" s="1"/>
  <c r="N171"/>
  <c r="N172" s="1"/>
  <c r="M171"/>
  <c r="M172" s="1"/>
  <c r="V171"/>
  <c r="V172" s="1"/>
  <c r="R171"/>
  <c r="R172" s="1"/>
  <c r="AA171"/>
  <c r="AA172" s="1"/>
  <c r="S171"/>
  <c r="S172" s="1"/>
  <c r="O171"/>
  <c r="O172" s="1"/>
  <c r="H171"/>
  <c r="H172" s="1"/>
  <c r="Y171"/>
  <c r="Y172" s="1"/>
  <c r="Z171"/>
  <c r="Z172" s="1"/>
  <c r="AB171"/>
  <c r="AB172" s="1"/>
  <c r="K171"/>
  <c r="K172" s="1"/>
  <c r="L171"/>
  <c r="L172" s="1"/>
  <c r="I171"/>
  <c r="I172" s="1"/>
  <c r="Q171"/>
  <c r="Q172" s="1"/>
  <c r="J171"/>
  <c r="J172" s="1"/>
  <c r="F181" i="47"/>
  <c r="AD181" s="1"/>
  <c r="AD180"/>
  <c r="F178" i="45"/>
  <c r="AD178" s="1"/>
  <c r="AD177"/>
  <c r="G222" i="35"/>
  <c r="G223" s="1"/>
  <c r="F222"/>
  <c r="F223" s="1"/>
  <c r="F165" i="46"/>
  <c r="AD165" s="1"/>
  <c r="AD164"/>
  <c r="F177"/>
  <c r="AD177" s="1"/>
  <c r="AD176"/>
  <c r="F181"/>
  <c r="AD181" s="1"/>
  <c r="AD180"/>
  <c r="P206" i="45"/>
  <c r="K206"/>
  <c r="L206"/>
  <c r="U206"/>
  <c r="U207" s="1"/>
  <c r="Q86" i="24" s="1"/>
  <c r="X206" i="45"/>
  <c r="X207" s="1"/>
  <c r="T86" i="24" s="1"/>
  <c r="G206" i="45"/>
  <c r="U183" i="46"/>
  <c r="V211"/>
  <c r="AB211"/>
  <c r="Q183"/>
  <c r="L183"/>
  <c r="R202"/>
  <c r="R203" s="1"/>
  <c r="N88" i="24" s="1"/>
  <c r="M202" i="46"/>
  <c r="AC202"/>
  <c r="AC203" s="1"/>
  <c r="Y88" i="24" s="1"/>
  <c r="P202" i="46"/>
  <c r="P203" s="1"/>
  <c r="L88" i="24" s="1"/>
  <c r="H202" i="46"/>
  <c r="G202"/>
  <c r="AD180" i="45"/>
  <c r="O21" i="35"/>
  <c r="O104" s="1"/>
  <c r="L32" i="32"/>
  <c r="O30" i="35" s="1"/>
  <c r="N104"/>
  <c r="W220"/>
  <c r="W221" s="1"/>
  <c r="V222"/>
  <c r="V223" s="1"/>
  <c r="AC220"/>
  <c r="AC221" s="1"/>
  <c r="X220"/>
  <c r="X221" s="1"/>
  <c r="L220"/>
  <c r="L221" s="1"/>
  <c r="AD121" i="45"/>
  <c r="M253" i="46"/>
  <c r="K232"/>
  <c r="H80" i="35"/>
  <c r="AD80" s="1"/>
  <c r="AD15"/>
  <c r="H151"/>
  <c r="H99"/>
  <c r="H100" s="1"/>
  <c r="H11"/>
  <c r="E34" i="32"/>
  <c r="E33"/>
  <c r="H31" i="35" s="1"/>
  <c r="K251"/>
  <c r="J285"/>
  <c r="J286"/>
  <c r="J284"/>
  <c r="Z220"/>
  <c r="Z221" s="1"/>
  <c r="W222"/>
  <c r="W223" s="1"/>
  <c r="Z222"/>
  <c r="Z223" s="1"/>
  <c r="K253"/>
  <c r="J305"/>
  <c r="J307"/>
  <c r="J306"/>
  <c r="AA222"/>
  <c r="AA223" s="1"/>
  <c r="AD54"/>
  <c r="O243" i="47"/>
  <c r="O241"/>
  <c r="O242"/>
  <c r="O244"/>
  <c r="O248"/>
  <c r="P191"/>
  <c r="O243" i="46"/>
  <c r="O242"/>
  <c r="O241"/>
  <c r="O244"/>
  <c r="O248"/>
  <c r="P190"/>
  <c r="Q247" i="45"/>
  <c r="Q246"/>
  <c r="Q245"/>
  <c r="Q252"/>
  <c r="Q248"/>
  <c r="Q254"/>
  <c r="M214" i="35"/>
  <c r="M215" s="1"/>
  <c r="M216"/>
  <c r="M217" s="1"/>
  <c r="J216"/>
  <c r="J217" s="1"/>
  <c r="J214"/>
  <c r="J215" s="1"/>
  <c r="O214"/>
  <c r="O215" s="1"/>
  <c r="O216"/>
  <c r="O217" s="1"/>
  <c r="N227"/>
  <c r="N228" s="1"/>
  <c r="N229"/>
  <c r="N230" s="1"/>
  <c r="N233"/>
  <c r="N234" s="1"/>
  <c r="N235"/>
  <c r="N236" s="1"/>
  <c r="J222"/>
  <c r="J223" s="1"/>
  <c r="AB220"/>
  <c r="AB221" s="1"/>
  <c r="J220"/>
  <c r="J221" s="1"/>
  <c r="AA220"/>
  <c r="AA221" s="1"/>
  <c r="T220"/>
  <c r="T221" s="1"/>
  <c r="Q220"/>
  <c r="Q221" s="1"/>
  <c r="M220"/>
  <c r="M221" s="1"/>
  <c r="P222"/>
  <c r="P223" s="1"/>
  <c r="K214"/>
  <c r="K215" s="1"/>
  <c r="K216"/>
  <c r="K217" s="1"/>
  <c r="I216"/>
  <c r="I217" s="1"/>
  <c r="I214"/>
  <c r="I215" s="1"/>
  <c r="L216"/>
  <c r="L217" s="1"/>
  <c r="L214"/>
  <c r="L215" s="1"/>
  <c r="T222"/>
  <c r="T223" s="1"/>
  <c r="K222"/>
  <c r="K223" s="1"/>
  <c r="L222"/>
  <c r="L223" s="1"/>
  <c r="R220"/>
  <c r="R221" s="1"/>
  <c r="AC222"/>
  <c r="AC223" s="1"/>
  <c r="I220"/>
  <c r="I221" s="1"/>
  <c r="S222"/>
  <c r="S223" s="1"/>
  <c r="AB222"/>
  <c r="AB223" s="1"/>
  <c r="Y220"/>
  <c r="Y221" s="1"/>
  <c r="O220"/>
  <c r="O221" s="1"/>
  <c r="U220"/>
  <c r="U221" s="1"/>
  <c r="K220"/>
  <c r="K221" s="1"/>
  <c r="H233" i="45"/>
  <c r="H254"/>
  <c r="S220" i="35"/>
  <c r="S221" s="1"/>
  <c r="O222"/>
  <c r="O223" s="1"/>
  <c r="P220"/>
  <c r="P221" s="1"/>
  <c r="R222"/>
  <c r="R223" s="1"/>
  <c r="X222"/>
  <c r="X223" s="1"/>
  <c r="I222"/>
  <c r="I223" s="1"/>
  <c r="Y222"/>
  <c r="Y223" s="1"/>
  <c r="V220"/>
  <c r="V221" s="1"/>
  <c r="Q222"/>
  <c r="Q223" s="1"/>
  <c r="U222"/>
  <c r="U223" s="1"/>
  <c r="M222"/>
  <c r="M223" s="1"/>
  <c r="O240" i="44"/>
  <c r="O238"/>
  <c r="O239"/>
  <c r="P185"/>
  <c r="O219"/>
  <c r="O218"/>
  <c r="O217"/>
  <c r="P183"/>
  <c r="O226" i="45"/>
  <c r="O225"/>
  <c r="O224"/>
  <c r="O233"/>
  <c r="O231"/>
  <c r="O227"/>
  <c r="P189"/>
  <c r="P222" i="46"/>
  <c r="P220"/>
  <c r="P221"/>
  <c r="P223"/>
  <c r="P232"/>
  <c r="P227"/>
  <c r="O222" i="47"/>
  <c r="O220"/>
  <c r="O221"/>
  <c r="O223"/>
  <c r="O227"/>
  <c r="P189"/>
  <c r="AD122"/>
  <c r="H208"/>
  <c r="D208" s="1"/>
  <c r="Q188" i="46"/>
  <c r="R191" i="45"/>
  <c r="N32" i="35"/>
  <c r="N196" s="1"/>
  <c r="N202" s="1"/>
  <c r="K35" i="32"/>
  <c r="AB56" i="35"/>
  <c r="M56"/>
  <c r="J56"/>
  <c r="O56"/>
  <c r="I56"/>
  <c r="AD11"/>
  <c r="W56"/>
  <c r="Y56"/>
  <c r="V56"/>
  <c r="AC56"/>
  <c r="X56"/>
  <c r="L56"/>
  <c r="Z151"/>
  <c r="I148"/>
  <c r="AD12"/>
  <c r="W151"/>
  <c r="Y151"/>
  <c r="V151"/>
  <c r="AC151"/>
  <c r="X151"/>
  <c r="L151"/>
  <c r="Z56"/>
  <c r="N72"/>
  <c r="N73" s="1"/>
  <c r="AA151"/>
  <c r="U56"/>
  <c r="S151"/>
  <c r="T56"/>
  <c r="P56"/>
  <c r="Q56"/>
  <c r="R56"/>
  <c r="K151"/>
  <c r="R151"/>
  <c r="AA56"/>
  <c r="AB151"/>
  <c r="U151"/>
  <c r="M151"/>
  <c r="J151"/>
  <c r="S56"/>
  <c r="O151"/>
  <c r="T151"/>
  <c r="P151"/>
  <c r="K56"/>
  <c r="Q151"/>
  <c r="AC157"/>
  <c r="H17"/>
  <c r="E31" i="32"/>
  <c r="H29" i="35" s="1"/>
  <c r="S157"/>
  <c r="S16"/>
  <c r="P16"/>
  <c r="AC16"/>
  <c r="I16"/>
  <c r="F33" i="32"/>
  <c r="F31"/>
  <c r="I29" i="35" s="1"/>
  <c r="F34" i="32"/>
  <c r="L31"/>
  <c r="O29" i="35" s="1"/>
  <c r="L34" i="32"/>
  <c r="O16" i="35"/>
  <c r="L33" i="32"/>
  <c r="O31" i="35" s="1"/>
  <c r="W16"/>
  <c r="Y16"/>
  <c r="AB16"/>
  <c r="T16"/>
  <c r="V16"/>
  <c r="R16"/>
  <c r="G34" i="32"/>
  <c r="J16" i="35"/>
  <c r="G33" i="32"/>
  <c r="J31" i="35" s="1"/>
  <c r="G31" i="32"/>
  <c r="J29" i="35" s="1"/>
  <c r="Z16"/>
  <c r="N83"/>
  <c r="I33" i="32"/>
  <c r="L31" i="35" s="1"/>
  <c r="I31" i="32"/>
  <c r="L29" i="35" s="1"/>
  <c r="I34" i="32"/>
  <c r="L16" i="35"/>
  <c r="J34" i="32"/>
  <c r="M16" i="35"/>
  <c r="J33" i="32"/>
  <c r="M31" i="35" s="1"/>
  <c r="J31" i="32"/>
  <c r="M29" i="35" s="1"/>
  <c r="AA16"/>
  <c r="U16"/>
  <c r="H31" i="32"/>
  <c r="K29" i="35" s="1"/>
  <c r="H34" i="32"/>
  <c r="K16" i="35"/>
  <c r="H33" i="32"/>
  <c r="K31" i="35" s="1"/>
  <c r="Q16"/>
  <c r="X16"/>
  <c r="M94" i="32"/>
  <c r="M21" s="1"/>
  <c r="P26" i="35" s="1"/>
  <c r="P164" s="1"/>
  <c r="M93" i="32"/>
  <c r="M20" s="1"/>
  <c r="P25" i="35" s="1"/>
  <c r="M92" i="32"/>
  <c r="M19" s="1"/>
  <c r="P24" i="35" s="1"/>
  <c r="P159" s="1"/>
  <c r="M91" i="32"/>
  <c r="M18" s="1"/>
  <c r="P23" i="35" s="1"/>
  <c r="P106" s="1"/>
  <c r="M90" i="32"/>
  <c r="M17" s="1"/>
  <c r="P22" i="35" s="1"/>
  <c r="P105" s="1"/>
  <c r="M89" i="32"/>
  <c r="M16" s="1"/>
  <c r="M88"/>
  <c r="M15" s="1"/>
  <c r="P20" i="35" s="1"/>
  <c r="P103" s="1"/>
  <c r="N85" i="32"/>
  <c r="N86" s="1"/>
  <c r="C163" i="9"/>
  <c r="D41" i="34"/>
  <c r="H11"/>
  <c r="Z7" i="33"/>
  <c r="AB11" i="34" s="1"/>
  <c r="V7" i="33"/>
  <c r="X11" i="34" s="1"/>
  <c r="R7" i="33"/>
  <c r="T11" i="34" s="1"/>
  <c r="N7" i="33"/>
  <c r="P11" i="34" s="1"/>
  <c r="J7" i="33"/>
  <c r="L11" i="34" s="1"/>
  <c r="AA7" i="33"/>
  <c r="AC11" i="34" s="1"/>
  <c r="W7" i="33"/>
  <c r="Y11" i="34" s="1"/>
  <c r="S7" i="33"/>
  <c r="U11" i="34" s="1"/>
  <c r="O7" i="33"/>
  <c r="Q11" i="34" s="1"/>
  <c r="K7" i="33"/>
  <c r="M11" i="34" s="1"/>
  <c r="G7" i="33"/>
  <c r="I11" i="34" s="1"/>
  <c r="X7" i="33"/>
  <c r="Z11" i="34" s="1"/>
  <c r="T7" i="33"/>
  <c r="V11" i="34" s="1"/>
  <c r="P7" i="33"/>
  <c r="R11" i="34" s="1"/>
  <c r="L7" i="33"/>
  <c r="N11" i="34" s="1"/>
  <c r="H7" i="33"/>
  <c r="J11" i="34" s="1"/>
  <c r="Y7" i="33"/>
  <c r="AA11" i="34" s="1"/>
  <c r="U7" i="33"/>
  <c r="W11" i="34" s="1"/>
  <c r="Q7" i="33"/>
  <c r="S11" i="34" s="1"/>
  <c r="M7" i="33"/>
  <c r="O11" i="34" s="1"/>
  <c r="I7" i="33"/>
  <c r="K11" i="34" s="1"/>
  <c r="F9" i="33"/>
  <c r="H13" i="34" s="1"/>
  <c r="F8" i="33"/>
  <c r="H12" i="34" s="1"/>
  <c r="I12" i="33"/>
  <c r="F131" i="34"/>
  <c r="F129"/>
  <c r="D97"/>
  <c r="G63"/>
  <c r="F63"/>
  <c r="D45"/>
  <c r="G38"/>
  <c r="F38"/>
  <c r="D34"/>
  <c r="C28" i="9"/>
  <c r="C20"/>
  <c r="D19"/>
  <c r="D20" s="1"/>
  <c r="F110" i="35" s="1"/>
  <c r="L244" i="47" l="1"/>
  <c r="I248"/>
  <c r="I227"/>
  <c r="D206"/>
  <c r="K244"/>
  <c r="B125" i="24"/>
  <c r="E19" i="9"/>
  <c r="E20" s="1"/>
  <c r="G110" i="35" s="1"/>
  <c r="W183" i="46"/>
  <c r="S185" i="47"/>
  <c r="R183" i="46"/>
  <c r="K183"/>
  <c r="T183"/>
  <c r="O232"/>
  <c r="O253"/>
  <c r="I232"/>
  <c r="I253"/>
  <c r="J253"/>
  <c r="J232"/>
  <c r="N232"/>
  <c r="N253"/>
  <c r="G248" i="45"/>
  <c r="G227"/>
  <c r="G228" s="1"/>
  <c r="G207"/>
  <c r="C86" i="24" s="1"/>
  <c r="K227" i="45"/>
  <c r="K228" s="1"/>
  <c r="K248"/>
  <c r="K207"/>
  <c r="G86" i="24" s="1"/>
  <c r="F162" i="47"/>
  <c r="AD162" s="1"/>
  <c r="AD161"/>
  <c r="H232" i="46"/>
  <c r="H253"/>
  <c r="F206" i="45"/>
  <c r="AD168"/>
  <c r="L203" i="46"/>
  <c r="H88" i="24" s="1"/>
  <c r="L223" i="46"/>
  <c r="L224" s="1"/>
  <c r="L244"/>
  <c r="F202" i="47"/>
  <c r="AD154"/>
  <c r="F241" i="44"/>
  <c r="F200"/>
  <c r="B90" i="24" s="1"/>
  <c r="F220" i="44"/>
  <c r="F221" s="1"/>
  <c r="F160" i="47"/>
  <c r="AD160" s="1"/>
  <c r="AD159"/>
  <c r="L185"/>
  <c r="Y185"/>
  <c r="X185"/>
  <c r="P185"/>
  <c r="T185"/>
  <c r="N185"/>
  <c r="V183" i="46"/>
  <c r="J183"/>
  <c r="H183"/>
  <c r="T211" i="47"/>
  <c r="AB211"/>
  <c r="W211"/>
  <c r="R211"/>
  <c r="Q211"/>
  <c r="L248" i="45"/>
  <c r="L207"/>
  <c r="H86" i="24" s="1"/>
  <c r="L227" i="45"/>
  <c r="L228" s="1"/>
  <c r="O203" i="46"/>
  <c r="K88" i="24" s="1"/>
  <c r="O223" i="46"/>
  <c r="O224" s="1"/>
  <c r="I207" i="45"/>
  <c r="E86" i="24" s="1"/>
  <c r="I248" i="45"/>
  <c r="I227"/>
  <c r="I228" s="1"/>
  <c r="F175" i="47"/>
  <c r="AD175" s="1"/>
  <c r="AD174"/>
  <c r="O207" i="45"/>
  <c r="K86" i="24" s="1"/>
  <c r="O248" i="45"/>
  <c r="H227"/>
  <c r="H228" s="1"/>
  <c r="H248"/>
  <c r="H207"/>
  <c r="D86" i="24" s="1"/>
  <c r="U185" i="47"/>
  <c r="AC185"/>
  <c r="W185"/>
  <c r="J185"/>
  <c r="O185"/>
  <c r="G185"/>
  <c r="P183" i="46"/>
  <c r="AB183"/>
  <c r="I183"/>
  <c r="Y211" i="47"/>
  <c r="M211"/>
  <c r="AA211"/>
  <c r="H211"/>
  <c r="G211"/>
  <c r="N211"/>
  <c r="H244" i="46"/>
  <c r="H223"/>
  <c r="H224" s="1"/>
  <c r="H203"/>
  <c r="D88" i="24" s="1"/>
  <c r="F173" i="47"/>
  <c r="AD172"/>
  <c r="L232" i="46"/>
  <c r="L253"/>
  <c r="N203"/>
  <c r="J88" i="24" s="1"/>
  <c r="N223" i="46"/>
  <c r="N224" s="1"/>
  <c r="N244"/>
  <c r="J223"/>
  <c r="J224" s="1"/>
  <c r="J203"/>
  <c r="F88" i="24" s="1"/>
  <c r="J244" i="46"/>
  <c r="N207" i="45"/>
  <c r="J86" i="24" s="1"/>
  <c r="N248" i="45"/>
  <c r="N227"/>
  <c r="N228" s="1"/>
  <c r="M207"/>
  <c r="I86" i="24" s="1"/>
  <c r="M248" i="45"/>
  <c r="M227"/>
  <c r="M228" s="1"/>
  <c r="F202" i="46"/>
  <c r="AD152"/>
  <c r="AB185" i="47"/>
  <c r="Q185"/>
  <c r="V185"/>
  <c r="H185"/>
  <c r="Q211" i="46"/>
  <c r="Q232" s="1"/>
  <c r="S183"/>
  <c r="X183"/>
  <c r="N183"/>
  <c r="AG19" i="47"/>
  <c r="K211"/>
  <c r="Z211"/>
  <c r="P211"/>
  <c r="P232" s="1"/>
  <c r="O211"/>
  <c r="X211"/>
  <c r="I211"/>
  <c r="G244" i="46"/>
  <c r="G223"/>
  <c r="M203"/>
  <c r="I88" i="24" s="1"/>
  <c r="M223" i="46"/>
  <c r="M224" s="1"/>
  <c r="M244"/>
  <c r="P207" i="45"/>
  <c r="L86" i="24" s="1"/>
  <c r="P248" i="45"/>
  <c r="I244" i="46"/>
  <c r="I223"/>
  <c r="I224" s="1"/>
  <c r="I203"/>
  <c r="E88" i="24" s="1"/>
  <c r="G253" i="46"/>
  <c r="G232"/>
  <c r="G308" i="35"/>
  <c r="G309" s="1"/>
  <c r="G267"/>
  <c r="C92" i="24" s="1"/>
  <c r="G287" i="35"/>
  <c r="G288" s="1"/>
  <c r="K244" i="46"/>
  <c r="K223"/>
  <c r="K224" s="1"/>
  <c r="K203"/>
  <c r="G88" i="24" s="1"/>
  <c r="J227" i="45"/>
  <c r="J228" s="1"/>
  <c r="J248"/>
  <c r="J207"/>
  <c r="F86" i="24" s="1"/>
  <c r="R185" i="47"/>
  <c r="K185"/>
  <c r="Z185"/>
  <c r="AA185"/>
  <c r="M185"/>
  <c r="I185"/>
  <c r="Z183" i="46"/>
  <c r="O183"/>
  <c r="AA183"/>
  <c r="G183"/>
  <c r="V211" i="47"/>
  <c r="J211"/>
  <c r="AC211"/>
  <c r="S211"/>
  <c r="U211"/>
  <c r="L211"/>
  <c r="AD11" i="34"/>
  <c r="H9" i="33"/>
  <c r="J13" i="34" s="1"/>
  <c r="J63" s="1"/>
  <c r="F19" i="33"/>
  <c r="H8"/>
  <c r="J12" i="34" s="1"/>
  <c r="H63"/>
  <c r="P21" i="35"/>
  <c r="P104" s="1"/>
  <c r="M32" i="32"/>
  <c r="P30" i="35" s="1"/>
  <c r="M31" i="32"/>
  <c r="P29" i="35" s="1"/>
  <c r="M34" i="32"/>
  <c r="P32" i="35" s="1"/>
  <c r="P196" s="1"/>
  <c r="P202" s="1"/>
  <c r="P107"/>
  <c r="P216"/>
  <c r="P217" s="1"/>
  <c r="M33" i="32"/>
  <c r="P31" i="35" s="1"/>
  <c r="P214"/>
  <c r="P215" s="1"/>
  <c r="P224" i="46"/>
  <c r="H35" i="34"/>
  <c r="G131"/>
  <c r="F184"/>
  <c r="F185"/>
  <c r="F183"/>
  <c r="F186"/>
  <c r="H32" i="35"/>
  <c r="H196" s="1"/>
  <c r="H202" s="1"/>
  <c r="E35" i="32"/>
  <c r="H56" i="35"/>
  <c r="AD56" s="1"/>
  <c r="H216"/>
  <c r="H217" s="1"/>
  <c r="H214"/>
  <c r="H215" s="1"/>
  <c r="H222"/>
  <c r="H223" s="1"/>
  <c r="H220"/>
  <c r="H221" s="1"/>
  <c r="L253"/>
  <c r="K307"/>
  <c r="K306"/>
  <c r="K305"/>
  <c r="L251"/>
  <c r="K284"/>
  <c r="K285"/>
  <c r="K286"/>
  <c r="P243" i="47"/>
  <c r="P241"/>
  <c r="P242"/>
  <c r="P244"/>
  <c r="P248"/>
  <c r="Q191"/>
  <c r="P250"/>
  <c r="P253"/>
  <c r="P243" i="46"/>
  <c r="P242"/>
  <c r="P241"/>
  <c r="P244"/>
  <c r="P248"/>
  <c r="P253"/>
  <c r="Q190"/>
  <c r="R247" i="45"/>
  <c r="R245"/>
  <c r="R246"/>
  <c r="R248"/>
  <c r="R252"/>
  <c r="R254"/>
  <c r="O228"/>
  <c r="K227" i="35"/>
  <c r="K228" s="1"/>
  <c r="K229"/>
  <c r="K230" s="1"/>
  <c r="K233"/>
  <c r="K234" s="1"/>
  <c r="K235"/>
  <c r="K236" s="1"/>
  <c r="I227"/>
  <c r="I228" s="1"/>
  <c r="I229"/>
  <c r="I230" s="1"/>
  <c r="I235"/>
  <c r="I236" s="1"/>
  <c r="I233"/>
  <c r="I234" s="1"/>
  <c r="L227"/>
  <c r="L228" s="1"/>
  <c r="L229"/>
  <c r="L230" s="1"/>
  <c r="L233"/>
  <c r="L234" s="1"/>
  <c r="L235"/>
  <c r="L236" s="1"/>
  <c r="J227"/>
  <c r="J228" s="1"/>
  <c r="J229"/>
  <c r="J230" s="1"/>
  <c r="J235"/>
  <c r="J236" s="1"/>
  <c r="J233"/>
  <c r="J234" s="1"/>
  <c r="H105" i="34"/>
  <c r="H107"/>
  <c r="O227" i="35"/>
  <c r="O228" s="1"/>
  <c r="O229"/>
  <c r="O230" s="1"/>
  <c r="O233"/>
  <c r="O234" s="1"/>
  <c r="O235"/>
  <c r="O236" s="1"/>
  <c r="P227"/>
  <c r="P228" s="1"/>
  <c r="P229"/>
  <c r="P230" s="1"/>
  <c r="H229"/>
  <c r="H230" s="1"/>
  <c r="H227"/>
  <c r="H228" s="1"/>
  <c r="H235"/>
  <c r="H236" s="1"/>
  <c r="H233"/>
  <c r="H234" s="1"/>
  <c r="J105" i="34"/>
  <c r="J107"/>
  <c r="M227" i="35"/>
  <c r="M228" s="1"/>
  <c r="M229"/>
  <c r="M230" s="1"/>
  <c r="M235"/>
  <c r="M236" s="1"/>
  <c r="M233"/>
  <c r="M234" s="1"/>
  <c r="H229" i="47"/>
  <c r="H250"/>
  <c r="P239" i="44"/>
  <c r="P238"/>
  <c r="P240"/>
  <c r="Q185"/>
  <c r="P219"/>
  <c r="P217"/>
  <c r="P218"/>
  <c r="Q183"/>
  <c r="P226" i="45"/>
  <c r="P225"/>
  <c r="P224"/>
  <c r="P233"/>
  <c r="P231"/>
  <c r="P227"/>
  <c r="Q189"/>
  <c r="Q222" i="46"/>
  <c r="Q221"/>
  <c r="Q220"/>
  <c r="Q223"/>
  <c r="Q227"/>
  <c r="G129" i="34"/>
  <c r="F162"/>
  <c r="F163"/>
  <c r="F164"/>
  <c r="F165"/>
  <c r="J113"/>
  <c r="J114" s="1"/>
  <c r="J111"/>
  <c r="J112" s="1"/>
  <c r="H111"/>
  <c r="H113"/>
  <c r="N266" i="35"/>
  <c r="N267" s="1"/>
  <c r="J92" i="24" s="1"/>
  <c r="P222" i="47"/>
  <c r="P221"/>
  <c r="P220"/>
  <c r="P223"/>
  <c r="P227"/>
  <c r="P229"/>
  <c r="Q189"/>
  <c r="O224"/>
  <c r="R188" i="46"/>
  <c r="S191" i="45"/>
  <c r="K32" i="35"/>
  <c r="K196" s="1"/>
  <c r="K202" s="1"/>
  <c r="H35" i="32"/>
  <c r="O32" i="35"/>
  <c r="O196" s="1"/>
  <c r="O202" s="1"/>
  <c r="L35" i="32"/>
  <c r="I31" i="35"/>
  <c r="F26" i="32"/>
  <c r="M35"/>
  <c r="I32" i="35"/>
  <c r="I196" s="1"/>
  <c r="I202" s="1"/>
  <c r="F35" i="32"/>
  <c r="L32" i="35"/>
  <c r="L196" s="1"/>
  <c r="L202" s="1"/>
  <c r="I35" i="32"/>
  <c r="M32" i="35"/>
  <c r="M196" s="1"/>
  <c r="M202" s="1"/>
  <c r="J35" i="32"/>
  <c r="J32" i="35"/>
  <c r="J196" s="1"/>
  <c r="J202" s="1"/>
  <c r="G35" i="32"/>
  <c r="S72" i="35"/>
  <c r="S73" s="1"/>
  <c r="X72"/>
  <c r="X73" s="1"/>
  <c r="W72"/>
  <c r="W73" s="1"/>
  <c r="O72"/>
  <c r="O73" s="1"/>
  <c r="J72"/>
  <c r="J73" s="1"/>
  <c r="K72"/>
  <c r="K73" s="1"/>
  <c r="Z72"/>
  <c r="Z73" s="1"/>
  <c r="Y72"/>
  <c r="Y73" s="1"/>
  <c r="M72"/>
  <c r="M73" s="1"/>
  <c r="AA72"/>
  <c r="AA73" s="1"/>
  <c r="Q72"/>
  <c r="Q73" s="1"/>
  <c r="T72"/>
  <c r="T73" s="1"/>
  <c r="AD148"/>
  <c r="I151"/>
  <c r="AD151" s="1"/>
  <c r="L72"/>
  <c r="L73" s="1"/>
  <c r="V72"/>
  <c r="V73" s="1"/>
  <c r="I72"/>
  <c r="AB72"/>
  <c r="AB73" s="1"/>
  <c r="R72"/>
  <c r="R73" s="1"/>
  <c r="P72"/>
  <c r="P73" s="1"/>
  <c r="U72"/>
  <c r="U73" s="1"/>
  <c r="AC72"/>
  <c r="AC73" s="1"/>
  <c r="H154"/>
  <c r="AD17"/>
  <c r="L83"/>
  <c r="Y83"/>
  <c r="AD16"/>
  <c r="I83"/>
  <c r="Q83"/>
  <c r="U83"/>
  <c r="N99"/>
  <c r="N100" s="1"/>
  <c r="T83"/>
  <c r="AC83"/>
  <c r="M83"/>
  <c r="J83"/>
  <c r="R83"/>
  <c r="V83"/>
  <c r="W83"/>
  <c r="O83"/>
  <c r="P83"/>
  <c r="S83"/>
  <c r="X83"/>
  <c r="K83"/>
  <c r="AA83"/>
  <c r="Z83"/>
  <c r="AB83"/>
  <c r="N94" i="32"/>
  <c r="N21" s="1"/>
  <c r="Q26" i="35" s="1"/>
  <c r="Q164" s="1"/>
  <c r="N93" i="32"/>
  <c r="N20" s="1"/>
  <c r="N92"/>
  <c r="N19" s="1"/>
  <c r="Q24" i="35" s="1"/>
  <c r="Q159" s="1"/>
  <c r="N91" i="32"/>
  <c r="N18" s="1"/>
  <c r="Q23" i="35" s="1"/>
  <c r="N90" i="32"/>
  <c r="N17" s="1"/>
  <c r="Q22" i="35" s="1"/>
  <c r="Q105" s="1"/>
  <c r="N89" i="32"/>
  <c r="N16" s="1"/>
  <c r="N88"/>
  <c r="N15" s="1"/>
  <c r="O85"/>
  <c r="O86" s="1"/>
  <c r="J108" i="34"/>
  <c r="J106"/>
  <c r="H108"/>
  <c r="H106"/>
  <c r="H38"/>
  <c r="C29" i="9"/>
  <c r="F19"/>
  <c r="G19" s="1"/>
  <c r="H19" s="1"/>
  <c r="I19" s="1"/>
  <c r="J19" s="1"/>
  <c r="K19" s="1"/>
  <c r="L19" s="1"/>
  <c r="M19" s="1"/>
  <c r="N19" s="1"/>
  <c r="O19" s="1"/>
  <c r="P19" s="1"/>
  <c r="Q19" s="1"/>
  <c r="R19" s="1"/>
  <c r="S19" s="1"/>
  <c r="T19" s="1"/>
  <c r="U19" s="1"/>
  <c r="U20" s="1"/>
  <c r="E28"/>
  <c r="D28"/>
  <c r="D66" s="1"/>
  <c r="G35" i="34"/>
  <c r="K35"/>
  <c r="AA35"/>
  <c r="P35"/>
  <c r="W35"/>
  <c r="X35"/>
  <c r="O35"/>
  <c r="S35"/>
  <c r="G115" i="29"/>
  <c r="F115"/>
  <c r="C38" i="9"/>
  <c r="C40" s="1"/>
  <c r="C66"/>
  <c r="G9" i="33"/>
  <c r="I13" i="34" s="1"/>
  <c r="I63" s="1"/>
  <c r="G8" i="33"/>
  <c r="I8"/>
  <c r="I9"/>
  <c r="K13" i="34" s="1"/>
  <c r="K63" s="1"/>
  <c r="H17" i="33"/>
  <c r="J17" i="34" s="1"/>
  <c r="H19" i="33"/>
  <c r="AB35" i="34"/>
  <c r="F17" i="33"/>
  <c r="H17" i="34" s="1"/>
  <c r="F20" i="33"/>
  <c r="H19" i="34"/>
  <c r="L35"/>
  <c r="T35"/>
  <c r="AC35"/>
  <c r="J12" i="33"/>
  <c r="F35" i="34"/>
  <c r="J35"/>
  <c r="N35"/>
  <c r="R35"/>
  <c r="V35"/>
  <c r="Z35"/>
  <c r="J38"/>
  <c r="I35"/>
  <c r="M35"/>
  <c r="Q35"/>
  <c r="U35"/>
  <c r="Y35"/>
  <c r="D54"/>
  <c r="H54" s="1"/>
  <c r="K232" i="47" l="1"/>
  <c r="K253"/>
  <c r="W115" i="29"/>
  <c r="W110" i="35"/>
  <c r="I253" i="47"/>
  <c r="I232"/>
  <c r="H253"/>
  <c r="H232"/>
  <c r="L253"/>
  <c r="L232"/>
  <c r="J253"/>
  <c r="J232"/>
  <c r="G232"/>
  <c r="G253"/>
  <c r="F248" i="45"/>
  <c r="F207"/>
  <c r="B86" i="24" s="1"/>
  <c r="F227" i="45"/>
  <c r="F228" s="1"/>
  <c r="D206"/>
  <c r="D202" s="1"/>
  <c r="O253" i="47"/>
  <c r="O232"/>
  <c r="F244" i="46"/>
  <c r="F223"/>
  <c r="D202"/>
  <c r="F211" i="47"/>
  <c r="F185"/>
  <c r="AD185" s="1"/>
  <c r="AD173"/>
  <c r="N253"/>
  <c r="N232"/>
  <c r="M253"/>
  <c r="M232"/>
  <c r="F244"/>
  <c r="F203"/>
  <c r="B82" i="24" s="1"/>
  <c r="F223" i="47"/>
  <c r="F224" s="1"/>
  <c r="D202"/>
  <c r="D198" s="1"/>
  <c r="AD35" i="34"/>
  <c r="P235" i="35"/>
  <c r="P236" s="1"/>
  <c r="P233"/>
  <c r="P234" s="1"/>
  <c r="Q106"/>
  <c r="Q214"/>
  <c r="Q216"/>
  <c r="Q21"/>
  <c r="N32" i="32"/>
  <c r="Q30" i="35" s="1"/>
  <c r="Q25"/>
  <c r="N34" i="32"/>
  <c r="N31"/>
  <c r="Q29" i="35" s="1"/>
  <c r="Q20"/>
  <c r="N33" i="32"/>
  <c r="Q31" i="35" s="1"/>
  <c r="H131" i="34"/>
  <c r="G183"/>
  <c r="G184"/>
  <c r="G185"/>
  <c r="G186"/>
  <c r="F187"/>
  <c r="H72" i="35"/>
  <c r="H73" s="1"/>
  <c r="L284"/>
  <c r="L286"/>
  <c r="L285"/>
  <c r="M251"/>
  <c r="L306"/>
  <c r="L305"/>
  <c r="L307"/>
  <c r="M253"/>
  <c r="Q243" i="47"/>
  <c r="Q242"/>
  <c r="Q241"/>
  <c r="Q244"/>
  <c r="Q248"/>
  <c r="Q250"/>
  <c r="R191"/>
  <c r="Q253"/>
  <c r="Q243" i="46"/>
  <c r="Q242"/>
  <c r="Q241"/>
  <c r="Q244"/>
  <c r="Q248"/>
  <c r="Q253"/>
  <c r="R190"/>
  <c r="S247" i="45"/>
  <c r="S245"/>
  <c r="S246"/>
  <c r="S252"/>
  <c r="S248"/>
  <c r="S254"/>
  <c r="P228"/>
  <c r="Q239" i="44"/>
  <c r="Q238"/>
  <c r="Q240"/>
  <c r="R185"/>
  <c r="Q219"/>
  <c r="Q217"/>
  <c r="Q218"/>
  <c r="R183"/>
  <c r="Q226" i="45"/>
  <c r="Q225"/>
  <c r="Q224"/>
  <c r="Q233"/>
  <c r="Q231"/>
  <c r="Q227"/>
  <c r="R189"/>
  <c r="Q224" i="46"/>
  <c r="R222"/>
  <c r="R221"/>
  <c r="R220"/>
  <c r="R223"/>
  <c r="R227"/>
  <c r="R232"/>
  <c r="H129" i="34"/>
  <c r="G163"/>
  <c r="G162"/>
  <c r="G164"/>
  <c r="G165"/>
  <c r="H112"/>
  <c r="F166"/>
  <c r="H114"/>
  <c r="H144"/>
  <c r="AD223" i="35"/>
  <c r="AD222"/>
  <c r="AD221"/>
  <c r="AD220"/>
  <c r="M266"/>
  <c r="M287" s="1"/>
  <c r="O266"/>
  <c r="L266"/>
  <c r="P266"/>
  <c r="J266"/>
  <c r="H266"/>
  <c r="K266"/>
  <c r="Q222" i="47"/>
  <c r="Q221"/>
  <c r="Q220"/>
  <c r="Q223"/>
  <c r="Q227"/>
  <c r="Q229"/>
  <c r="Q232"/>
  <c r="R189"/>
  <c r="P224"/>
  <c r="J144" i="34"/>
  <c r="S188" i="46"/>
  <c r="T191" i="45"/>
  <c r="F27" i="32"/>
  <c r="I39" i="35" s="1"/>
  <c r="I38"/>
  <c r="I73"/>
  <c r="AD154"/>
  <c r="H157"/>
  <c r="AD157" s="1"/>
  <c r="AB99"/>
  <c r="AB100" s="1"/>
  <c r="Z99"/>
  <c r="Z100" s="1"/>
  <c r="AA99"/>
  <c r="AA100" s="1"/>
  <c r="K99"/>
  <c r="K100" s="1"/>
  <c r="X99"/>
  <c r="X100" s="1"/>
  <c r="L99"/>
  <c r="L100" s="1"/>
  <c r="U99"/>
  <c r="U100" s="1"/>
  <c r="Q99"/>
  <c r="Q100" s="1"/>
  <c r="AD83"/>
  <c r="I99"/>
  <c r="T99"/>
  <c r="T100" s="1"/>
  <c r="S99"/>
  <c r="S100" s="1"/>
  <c r="P99"/>
  <c r="P100" s="1"/>
  <c r="O99"/>
  <c r="O100" s="1"/>
  <c r="W99"/>
  <c r="W100" s="1"/>
  <c r="V99"/>
  <c r="V100" s="1"/>
  <c r="R99"/>
  <c r="R100" s="1"/>
  <c r="J99"/>
  <c r="J100" s="1"/>
  <c r="M99"/>
  <c r="M100" s="1"/>
  <c r="AC99"/>
  <c r="AC100" s="1"/>
  <c r="Y99"/>
  <c r="Y100" s="1"/>
  <c r="O94" i="32"/>
  <c r="O21" s="1"/>
  <c r="R26" i="35" s="1"/>
  <c r="R164" s="1"/>
  <c r="O93" i="32"/>
  <c r="O20" s="1"/>
  <c r="O92"/>
  <c r="O19" s="1"/>
  <c r="R24" i="35" s="1"/>
  <c r="R159" s="1"/>
  <c r="O91" i="32"/>
  <c r="O18" s="1"/>
  <c r="R23" i="35" s="1"/>
  <c r="O90" i="32"/>
  <c r="O17" s="1"/>
  <c r="R22" i="35" s="1"/>
  <c r="R105" s="1"/>
  <c r="O89" i="32"/>
  <c r="O16" s="1"/>
  <c r="O88"/>
  <c r="O15" s="1"/>
  <c r="P85"/>
  <c r="P86" s="1"/>
  <c r="K28" i="9"/>
  <c r="F20"/>
  <c r="G20"/>
  <c r="U28"/>
  <c r="U66" s="1"/>
  <c r="Q20"/>
  <c r="L28"/>
  <c r="K20"/>
  <c r="L20"/>
  <c r="H28"/>
  <c r="H66" s="1"/>
  <c r="Q28"/>
  <c r="J20"/>
  <c r="O28"/>
  <c r="O66" s="1"/>
  <c r="P20"/>
  <c r="P28"/>
  <c r="N20"/>
  <c r="J28"/>
  <c r="E66"/>
  <c r="G157" i="29" s="1"/>
  <c r="I28" i="9"/>
  <c r="I66" s="1"/>
  <c r="S28"/>
  <c r="T20"/>
  <c r="V110" i="35" s="1"/>
  <c r="T28" i="9"/>
  <c r="T66" s="1"/>
  <c r="R20"/>
  <c r="S20"/>
  <c r="N28"/>
  <c r="F28"/>
  <c r="E29"/>
  <c r="I20"/>
  <c r="R28"/>
  <c r="R66" s="1"/>
  <c r="G28"/>
  <c r="G29" s="1"/>
  <c r="H20"/>
  <c r="M20"/>
  <c r="M28"/>
  <c r="M66" s="1"/>
  <c r="V17"/>
  <c r="O20"/>
  <c r="D29"/>
  <c r="Q66"/>
  <c r="V115" i="29"/>
  <c r="L66" i="9"/>
  <c r="F157" i="29"/>
  <c r="K66" i="9"/>
  <c r="H20" i="33"/>
  <c r="J19" i="34"/>
  <c r="G17" i="33"/>
  <c r="I17" i="34" s="1"/>
  <c r="I12"/>
  <c r="G19" i="33"/>
  <c r="J8"/>
  <c r="J9"/>
  <c r="L13" i="34" s="1"/>
  <c r="L63" s="1"/>
  <c r="I17" i="33"/>
  <c r="K17" i="34" s="1"/>
  <c r="I19" i="33"/>
  <c r="K12" i="34"/>
  <c r="F21" i="33"/>
  <c r="H21" i="34" s="1"/>
  <c r="H20"/>
  <c r="H87" s="1"/>
  <c r="K12" i="33"/>
  <c r="D66" i="34"/>
  <c r="G54"/>
  <c r="H55"/>
  <c r="H148" s="1"/>
  <c r="J54"/>
  <c r="F54"/>
  <c r="H93" l="1"/>
  <c r="F63" i="29"/>
  <c r="F49" i="45"/>
  <c r="F43" i="44"/>
  <c r="F49" i="47"/>
  <c r="F58" i="35"/>
  <c r="N115" i="29"/>
  <c r="N110" i="35"/>
  <c r="V19" i="9"/>
  <c r="V28" s="1"/>
  <c r="D37"/>
  <c r="I63" i="29"/>
  <c r="I90" s="1"/>
  <c r="I49" i="46"/>
  <c r="I43" i="44"/>
  <c r="I49" i="47"/>
  <c r="I49" i="45"/>
  <c r="I58" i="35"/>
  <c r="R115" i="29"/>
  <c r="R110" i="35"/>
  <c r="S115" i="29"/>
  <c r="S110" i="35"/>
  <c r="Q115" i="29"/>
  <c r="Q110" i="35"/>
  <c r="J115" i="29"/>
  <c r="J110" i="35"/>
  <c r="G63" i="29"/>
  <c r="G90" s="1"/>
  <c r="G49" i="47"/>
  <c r="G49" i="45"/>
  <c r="G49" i="46"/>
  <c r="G43" i="44"/>
  <c r="G58" i="35"/>
  <c r="T115" i="29"/>
  <c r="T110" i="35"/>
  <c r="H115" i="29"/>
  <c r="H110" i="35"/>
  <c r="F253" i="47"/>
  <c r="F232"/>
  <c r="D211"/>
  <c r="O115" i="29"/>
  <c r="O110" i="35"/>
  <c r="K115" i="29"/>
  <c r="K110" i="35"/>
  <c r="U115" i="29"/>
  <c r="U110" i="35"/>
  <c r="P115" i="29"/>
  <c r="P110" i="35"/>
  <c r="L115" i="29"/>
  <c r="L110" i="35"/>
  <c r="M115" i="29"/>
  <c r="M110" i="35"/>
  <c r="I115" i="29"/>
  <c r="I110" i="35"/>
  <c r="G187" i="34"/>
  <c r="R21" i="35"/>
  <c r="R104" s="1"/>
  <c r="O32" i="32"/>
  <c r="R30" i="35" s="1"/>
  <c r="R25"/>
  <c r="R107" s="1"/>
  <c r="O34" i="32"/>
  <c r="O31"/>
  <c r="R29" i="35" s="1"/>
  <c r="R20"/>
  <c r="O33" i="32"/>
  <c r="R31" i="35" s="1"/>
  <c r="Q104"/>
  <c r="Q215"/>
  <c r="Q103"/>
  <c r="Q235"/>
  <c r="Q236" s="1"/>
  <c r="Q227"/>
  <c r="Q229"/>
  <c r="Q233"/>
  <c r="Q234" s="1"/>
  <c r="Q217"/>
  <c r="R106"/>
  <c r="R214"/>
  <c r="R215" s="1"/>
  <c r="R216"/>
  <c r="R217" s="1"/>
  <c r="Q107"/>
  <c r="N35" i="32"/>
  <c r="Q32" i="35"/>
  <c r="Q196" s="1"/>
  <c r="Q202" s="1"/>
  <c r="I131" i="34"/>
  <c r="H183"/>
  <c r="H184"/>
  <c r="H185"/>
  <c r="AD72" i="35"/>
  <c r="M306"/>
  <c r="M305"/>
  <c r="M307"/>
  <c r="N253"/>
  <c r="M286"/>
  <c r="M284"/>
  <c r="M285"/>
  <c r="N251"/>
  <c r="R243" i="47"/>
  <c r="R241"/>
  <c r="R242"/>
  <c r="R244"/>
  <c r="R248"/>
  <c r="R253"/>
  <c r="R250"/>
  <c r="S191"/>
  <c r="R243" i="46"/>
  <c r="R241"/>
  <c r="R242"/>
  <c r="R244"/>
  <c r="R248"/>
  <c r="R253"/>
  <c r="S190"/>
  <c r="R224"/>
  <c r="T247" i="45"/>
  <c r="T245"/>
  <c r="T246"/>
  <c r="T248"/>
  <c r="T252"/>
  <c r="T254"/>
  <c r="J287" i="35"/>
  <c r="J288" s="1"/>
  <c r="J308"/>
  <c r="J309" s="1"/>
  <c r="H287"/>
  <c r="H308"/>
  <c r="H165" i="34"/>
  <c r="H186"/>
  <c r="K267" i="35"/>
  <c r="G92" i="24" s="1"/>
  <c r="K308" i="35"/>
  <c r="K309" s="1"/>
  <c r="L267"/>
  <c r="H92" i="24" s="1"/>
  <c r="L308" i="35"/>
  <c r="L309" s="1"/>
  <c r="M267"/>
  <c r="I92" i="24" s="1"/>
  <c r="M308" i="35"/>
  <c r="K107" i="34"/>
  <c r="K105"/>
  <c r="H169"/>
  <c r="H190"/>
  <c r="I105"/>
  <c r="I106" s="1"/>
  <c r="I107"/>
  <c r="I108" s="1"/>
  <c r="O267" i="35"/>
  <c r="K92" i="24" s="1"/>
  <c r="R238" i="44"/>
  <c r="R239"/>
  <c r="R240"/>
  <c r="S185"/>
  <c r="R217"/>
  <c r="R218"/>
  <c r="R219"/>
  <c r="S183"/>
  <c r="R226" i="45"/>
  <c r="R224"/>
  <c r="R225"/>
  <c r="R233"/>
  <c r="R227"/>
  <c r="R231"/>
  <c r="S189"/>
  <c r="Q228"/>
  <c r="S222" i="46"/>
  <c r="S221"/>
  <c r="S220"/>
  <c r="S223"/>
  <c r="S227"/>
  <c r="S232"/>
  <c r="K113" i="34"/>
  <c r="K114" s="1"/>
  <c r="K111"/>
  <c r="K112" s="1"/>
  <c r="I129"/>
  <c r="H164"/>
  <c r="H163"/>
  <c r="H162"/>
  <c r="I113"/>
  <c r="I111"/>
  <c r="H145"/>
  <c r="D94" i="24" s="1"/>
  <c r="J145" i="34"/>
  <c r="F94" i="24" s="1"/>
  <c r="H117" i="34"/>
  <c r="H118" s="1"/>
  <c r="H121"/>
  <c r="H122" s="1"/>
  <c r="H119"/>
  <c r="H120" s="1"/>
  <c r="J267" i="35"/>
  <c r="F92" i="24" s="1"/>
  <c r="L287" i="35"/>
  <c r="L288" s="1"/>
  <c r="K287"/>
  <c r="K288" s="1"/>
  <c r="P267"/>
  <c r="L92" i="24" s="1"/>
  <c r="AD73" i="35"/>
  <c r="I266"/>
  <c r="R222" i="47"/>
  <c r="R220"/>
  <c r="R221"/>
  <c r="R223"/>
  <c r="R227"/>
  <c r="R229"/>
  <c r="R232"/>
  <c r="S189"/>
  <c r="Q224"/>
  <c r="F66" i="34"/>
  <c r="J66"/>
  <c r="K66"/>
  <c r="G66"/>
  <c r="L66"/>
  <c r="H66"/>
  <c r="I66"/>
  <c r="G55"/>
  <c r="J55"/>
  <c r="J148" s="1"/>
  <c r="F55"/>
  <c r="F148" s="1"/>
  <c r="T188" i="46"/>
  <c r="U191" i="45"/>
  <c r="I100" i="35"/>
  <c r="AD99"/>
  <c r="P94" i="32"/>
  <c r="P21" s="1"/>
  <c r="S26" i="35" s="1"/>
  <c r="S164" s="1"/>
  <c r="P93" i="32"/>
  <c r="P20" s="1"/>
  <c r="P92"/>
  <c r="P19" s="1"/>
  <c r="S24" i="35" s="1"/>
  <c r="S159" s="1"/>
  <c r="P91" i="32"/>
  <c r="P18" s="1"/>
  <c r="S23" i="35" s="1"/>
  <c r="P90" i="32"/>
  <c r="P17" s="1"/>
  <c r="S22" i="35" s="1"/>
  <c r="S105" s="1"/>
  <c r="P89" i="32"/>
  <c r="P16" s="1"/>
  <c r="P88"/>
  <c r="P15" s="1"/>
  <c r="Q85"/>
  <c r="Q86" s="1"/>
  <c r="K108" i="34"/>
  <c r="K106"/>
  <c r="F127" i="29"/>
  <c r="P66" i="9"/>
  <c r="G127" i="29"/>
  <c r="G66" i="9"/>
  <c r="I157" i="29" s="1"/>
  <c r="W19" i="9"/>
  <c r="W20" s="1"/>
  <c r="Y110" i="35" s="1"/>
  <c r="V20" i="9"/>
  <c r="X110" i="35" s="1"/>
  <c r="S66" i="9"/>
  <c r="U157" i="29" s="1"/>
  <c r="F29" i="9"/>
  <c r="F66"/>
  <c r="H157" i="29" s="1"/>
  <c r="N66" i="9"/>
  <c r="P157" i="29" s="1"/>
  <c r="J66" i="9"/>
  <c r="L157" i="29" s="1"/>
  <c r="I127"/>
  <c r="V157"/>
  <c r="Q157"/>
  <c r="N157"/>
  <c r="X115"/>
  <c r="S157"/>
  <c r="O157"/>
  <c r="V66" i="9"/>
  <c r="R157" i="29"/>
  <c r="M157"/>
  <c r="T157"/>
  <c r="W157"/>
  <c r="J157"/>
  <c r="K157"/>
  <c r="K38" i="34"/>
  <c r="K54" s="1"/>
  <c r="J19" i="33"/>
  <c r="L12" i="34"/>
  <c r="J17" i="33"/>
  <c r="L17" i="34" s="1"/>
  <c r="I38"/>
  <c r="K9" i="33"/>
  <c r="M13" i="34" s="1"/>
  <c r="M63" s="1"/>
  <c r="M66" s="1"/>
  <c r="K8" i="33"/>
  <c r="I20"/>
  <c r="K19" i="34"/>
  <c r="I19"/>
  <c r="G20" i="33"/>
  <c r="H21"/>
  <c r="J21" i="34" s="1"/>
  <c r="J20"/>
  <c r="J87" s="1"/>
  <c r="J93" s="1"/>
  <c r="L12" i="33"/>
  <c r="H29" i="9"/>
  <c r="J63" i="29" l="1"/>
  <c r="J49" i="45"/>
  <c r="J49" i="46"/>
  <c r="J43" i="44"/>
  <c r="J49" i="47"/>
  <c r="J58" i="35"/>
  <c r="H63" i="29"/>
  <c r="H90" s="1"/>
  <c r="H43" i="44"/>
  <c r="H49" i="47"/>
  <c r="H49" i="45"/>
  <c r="H49" i="46"/>
  <c r="H58" i="35"/>
  <c r="G70" i="44"/>
  <c r="I70"/>
  <c r="F76" i="47"/>
  <c r="G85" i="35"/>
  <c r="G122"/>
  <c r="G76" i="47"/>
  <c r="I76"/>
  <c r="E37" i="9"/>
  <c r="D38"/>
  <c r="F40" i="34" s="1"/>
  <c r="F122" i="35"/>
  <c r="F85"/>
  <c r="F76" i="45"/>
  <c r="G76"/>
  <c r="I76"/>
  <c r="F75" i="46"/>
  <c r="G75"/>
  <c r="I122" i="35"/>
  <c r="I85"/>
  <c r="I75" i="46"/>
  <c r="F70" i="44"/>
  <c r="G148" i="34"/>
  <c r="I54"/>
  <c r="I55" s="1"/>
  <c r="I148" s="1"/>
  <c r="M309" i="35"/>
  <c r="M288"/>
  <c r="S20"/>
  <c r="P33" i="32"/>
  <c r="S31" i="35" s="1"/>
  <c r="S106"/>
  <c r="S216"/>
  <c r="S217" s="1"/>
  <c r="S214"/>
  <c r="S215" s="1"/>
  <c r="O35" i="32"/>
  <c r="R32" i="35"/>
  <c r="R196" s="1"/>
  <c r="R202" s="1"/>
  <c r="S21"/>
  <c r="P32" i="32"/>
  <c r="S30" i="35" s="1"/>
  <c r="S25"/>
  <c r="S107" s="1"/>
  <c r="P31" i="32"/>
  <c r="S29" i="35" s="1"/>
  <c r="P34" i="32"/>
  <c r="Q228" i="35"/>
  <c r="Q230"/>
  <c r="R103"/>
  <c r="R227"/>
  <c r="R228" s="1"/>
  <c r="R235"/>
  <c r="R236" s="1"/>
  <c r="R233"/>
  <c r="R234" s="1"/>
  <c r="R229"/>
  <c r="R230" s="1"/>
  <c r="J131" i="34"/>
  <c r="I183"/>
  <c r="I184"/>
  <c r="I185"/>
  <c r="J190"/>
  <c r="N285" i="35"/>
  <c r="N284"/>
  <c r="N286"/>
  <c r="O251"/>
  <c r="N287"/>
  <c r="N306"/>
  <c r="N307"/>
  <c r="N305"/>
  <c r="O253"/>
  <c r="N308"/>
  <c r="N309" s="1"/>
  <c r="S243" i="47"/>
  <c r="S241"/>
  <c r="S242"/>
  <c r="S244"/>
  <c r="S248"/>
  <c r="S250"/>
  <c r="S253"/>
  <c r="T191"/>
  <c r="S243" i="46"/>
  <c r="S241"/>
  <c r="S242"/>
  <c r="S244"/>
  <c r="S248"/>
  <c r="S253"/>
  <c r="T190"/>
  <c r="S224"/>
  <c r="R228" i="45"/>
  <c r="U247"/>
  <c r="U245"/>
  <c r="U246"/>
  <c r="U252"/>
  <c r="U248"/>
  <c r="U254"/>
  <c r="G169" i="34"/>
  <c r="G190"/>
  <c r="H187"/>
  <c r="L105"/>
  <c r="L106" s="1"/>
  <c r="L107"/>
  <c r="L108" s="1"/>
  <c r="I287" i="35"/>
  <c r="I308"/>
  <c r="F169" i="34"/>
  <c r="F190"/>
  <c r="S240" i="44"/>
  <c r="S238"/>
  <c r="S239"/>
  <c r="T185"/>
  <c r="S219"/>
  <c r="S218"/>
  <c r="S217"/>
  <c r="T183"/>
  <c r="S226" i="45"/>
  <c r="S224"/>
  <c r="S225"/>
  <c r="S233"/>
  <c r="S231"/>
  <c r="S227"/>
  <c r="T189"/>
  <c r="T222" i="46"/>
  <c r="T221"/>
  <c r="T220"/>
  <c r="T223"/>
  <c r="T232"/>
  <c r="T227"/>
  <c r="I112" i="34"/>
  <c r="L111"/>
  <c r="L112" s="1"/>
  <c r="L113"/>
  <c r="L114" s="1"/>
  <c r="J129"/>
  <c r="J169" s="1"/>
  <c r="I164"/>
  <c r="I162"/>
  <c r="I163"/>
  <c r="I114"/>
  <c r="J121"/>
  <c r="J122" s="1"/>
  <c r="J119"/>
  <c r="J120" s="1"/>
  <c r="J117"/>
  <c r="J118" s="1"/>
  <c r="R224" i="47"/>
  <c r="S222"/>
  <c r="S220"/>
  <c r="S221"/>
  <c r="S223"/>
  <c r="S227"/>
  <c r="S229"/>
  <c r="S232"/>
  <c r="T189"/>
  <c r="K144" i="34"/>
  <c r="H153"/>
  <c r="I144"/>
  <c r="K55"/>
  <c r="K148" s="1"/>
  <c r="U188" i="46"/>
  <c r="V191" i="45"/>
  <c r="AD100" i="35"/>
  <c r="Q94" i="32"/>
  <c r="Q21" s="1"/>
  <c r="T26" i="35" s="1"/>
  <c r="T164" s="1"/>
  <c r="Q93" i="32"/>
  <c r="Q20" s="1"/>
  <c r="Q92"/>
  <c r="Q19" s="1"/>
  <c r="T24" i="35" s="1"/>
  <c r="T159" s="1"/>
  <c r="Q91" i="32"/>
  <c r="Q18" s="1"/>
  <c r="T23" i="35" s="1"/>
  <c r="Q90" i="32"/>
  <c r="Q17" s="1"/>
  <c r="T22" i="35" s="1"/>
  <c r="T105" s="1"/>
  <c r="Q89" i="32"/>
  <c r="Q16" s="1"/>
  <c r="Q88"/>
  <c r="Q15" s="1"/>
  <c r="R85"/>
  <c r="R86" s="1"/>
  <c r="H124" i="34"/>
  <c r="W28" i="9"/>
  <c r="X19"/>
  <c r="X28" s="1"/>
  <c r="H127" i="29"/>
  <c r="J90"/>
  <c r="J127"/>
  <c r="Y115"/>
  <c r="W66" i="9"/>
  <c r="X157" i="29"/>
  <c r="K17" i="33"/>
  <c r="M17" i="34" s="1"/>
  <c r="M12"/>
  <c r="K19" i="33"/>
  <c r="L38" i="34"/>
  <c r="L8" i="33"/>
  <c r="L9"/>
  <c r="N13" i="34" s="1"/>
  <c r="N63" s="1"/>
  <c r="N66" s="1"/>
  <c r="I20"/>
  <c r="I87" s="1"/>
  <c r="G21" i="33"/>
  <c r="I21" i="34" s="1"/>
  <c r="I21" i="33"/>
  <c r="K21" i="34" s="1"/>
  <c r="K20"/>
  <c r="K87" s="1"/>
  <c r="K93" s="1"/>
  <c r="J20" i="33"/>
  <c r="L19" i="34"/>
  <c r="M12" i="33"/>
  <c r="I29" i="9"/>
  <c r="I93" i="34" l="1"/>
  <c r="K63" i="29"/>
  <c r="K49" i="47"/>
  <c r="K49" i="45"/>
  <c r="K49" i="46"/>
  <c r="K43" i="44"/>
  <c r="K58" i="35"/>
  <c r="F37" i="9"/>
  <c r="E38"/>
  <c r="G40" i="34" s="1"/>
  <c r="H76" i="47"/>
  <c r="J76"/>
  <c r="H76" i="45"/>
  <c r="J85" i="35"/>
  <c r="J122"/>
  <c r="J76" i="45"/>
  <c r="H75" i="46"/>
  <c r="J75"/>
  <c r="H122" i="35"/>
  <c r="H85"/>
  <c r="H70" i="44"/>
  <c r="J70"/>
  <c r="R266" i="35"/>
  <c r="R267" s="1"/>
  <c r="N92" i="24" s="1"/>
  <c r="T21" i="35"/>
  <c r="T104" s="1"/>
  <c r="Q32" i="32"/>
  <c r="T30" i="35" s="1"/>
  <c r="T25"/>
  <c r="T107" s="1"/>
  <c r="Q34" i="32"/>
  <c r="Q31"/>
  <c r="T29" i="35" s="1"/>
  <c r="T20"/>
  <c r="Q33" i="32"/>
  <c r="T31" i="35" s="1"/>
  <c r="Q266"/>
  <c r="S103"/>
  <c r="S235"/>
  <c r="S236" s="1"/>
  <c r="S229"/>
  <c r="S227"/>
  <c r="S228" s="1"/>
  <c r="S233"/>
  <c r="S234" s="1"/>
  <c r="P35" i="32"/>
  <c r="S32" i="35"/>
  <c r="S196" s="1"/>
  <c r="S202" s="1"/>
  <c r="S104"/>
  <c r="T106"/>
  <c r="T214"/>
  <c r="T215" s="1"/>
  <c r="T216"/>
  <c r="S228" i="45"/>
  <c r="I186" i="34"/>
  <c r="I187" s="1"/>
  <c r="K131"/>
  <c r="K186" s="1"/>
  <c r="J184"/>
  <c r="J185"/>
  <c r="J183"/>
  <c r="J186"/>
  <c r="O307" i="35"/>
  <c r="O306"/>
  <c r="O305"/>
  <c r="P253"/>
  <c r="O308"/>
  <c r="N288"/>
  <c r="O284"/>
  <c r="O285"/>
  <c r="O286"/>
  <c r="P251"/>
  <c r="O287"/>
  <c r="T243" i="47"/>
  <c r="T241"/>
  <c r="T242"/>
  <c r="T244"/>
  <c r="T248"/>
  <c r="T250"/>
  <c r="T253"/>
  <c r="U191"/>
  <c r="S224"/>
  <c r="T243" i="46"/>
  <c r="T241"/>
  <c r="T242"/>
  <c r="T244"/>
  <c r="T248"/>
  <c r="T253"/>
  <c r="U190"/>
  <c r="V247" i="45"/>
  <c r="V245"/>
  <c r="V246"/>
  <c r="V248"/>
  <c r="V252"/>
  <c r="V254"/>
  <c r="H174" i="34"/>
  <c r="H195"/>
  <c r="M105"/>
  <c r="M106" s="1"/>
  <c r="M107"/>
  <c r="M108" s="1"/>
  <c r="I169"/>
  <c r="I190"/>
  <c r="T238" i="44"/>
  <c r="T240"/>
  <c r="T239"/>
  <c r="U185"/>
  <c r="T219"/>
  <c r="T217"/>
  <c r="T218"/>
  <c r="U183"/>
  <c r="T226" i="45"/>
  <c r="T224"/>
  <c r="T225"/>
  <c r="T233"/>
  <c r="T227"/>
  <c r="T231"/>
  <c r="U189"/>
  <c r="T224" i="46"/>
  <c r="U222"/>
  <c r="U220"/>
  <c r="U221"/>
  <c r="U223"/>
  <c r="U232"/>
  <c r="U227"/>
  <c r="M113" i="34"/>
  <c r="M114" s="1"/>
  <c r="M111"/>
  <c r="K129"/>
  <c r="K169" s="1"/>
  <c r="J162"/>
  <c r="J164"/>
  <c r="J163"/>
  <c r="J165"/>
  <c r="K145"/>
  <c r="G94" i="24" s="1"/>
  <c r="K165" i="34"/>
  <c r="I145"/>
  <c r="E94" i="24" s="1"/>
  <c r="I165" i="34"/>
  <c r="I121"/>
  <c r="I122" s="1"/>
  <c r="I119"/>
  <c r="I120" s="1"/>
  <c r="I117"/>
  <c r="I118" s="1"/>
  <c r="K117"/>
  <c r="K118" s="1"/>
  <c r="K121"/>
  <c r="K122" s="1"/>
  <c r="K119"/>
  <c r="K120" s="1"/>
  <c r="T222" i="47"/>
  <c r="T221"/>
  <c r="T220"/>
  <c r="T223"/>
  <c r="T227"/>
  <c r="T229"/>
  <c r="T232"/>
  <c r="U189"/>
  <c r="L144" i="34"/>
  <c r="J153"/>
  <c r="V188" i="46"/>
  <c r="W191" i="45"/>
  <c r="R94" i="32"/>
  <c r="R21" s="1"/>
  <c r="U26" i="35" s="1"/>
  <c r="U164" s="1"/>
  <c r="R93" i="32"/>
  <c r="R20" s="1"/>
  <c r="R92"/>
  <c r="R19" s="1"/>
  <c r="U24" i="35" s="1"/>
  <c r="U159" s="1"/>
  <c r="R91" i="32"/>
  <c r="R18" s="1"/>
  <c r="U23" i="35" s="1"/>
  <c r="R90" i="32"/>
  <c r="R17" s="1"/>
  <c r="U22" i="35" s="1"/>
  <c r="U105" s="1"/>
  <c r="R89" i="32"/>
  <c r="R16" s="1"/>
  <c r="R88"/>
  <c r="R15" s="1"/>
  <c r="S85"/>
  <c r="S86" s="1"/>
  <c r="J124" i="34"/>
  <c r="Y19" i="9"/>
  <c r="Z19" s="1"/>
  <c r="X20"/>
  <c r="K90" i="29"/>
  <c r="K127"/>
  <c r="Y157"/>
  <c r="X66" i="9"/>
  <c r="J21" i="33"/>
  <c r="L21" i="34" s="1"/>
  <c r="L20"/>
  <c r="L87" s="1"/>
  <c r="L93" s="1"/>
  <c r="L17" i="33"/>
  <c r="N17" i="34" s="1"/>
  <c r="L19" i="33"/>
  <c r="N12" i="34"/>
  <c r="L54"/>
  <c r="M38"/>
  <c r="M8" i="33"/>
  <c r="M9"/>
  <c r="O13" i="34" s="1"/>
  <c r="O63" s="1"/>
  <c r="O66" s="1"/>
  <c r="K20" i="33"/>
  <c r="M19" i="34"/>
  <c r="N12" i="33"/>
  <c r="J29" i="9"/>
  <c r="Y28" l="1"/>
  <c r="Y20"/>
  <c r="AA110" i="35" s="1"/>
  <c r="K70" i="44"/>
  <c r="K85" i="35"/>
  <c r="K122"/>
  <c r="K76" i="47"/>
  <c r="L63" i="29"/>
  <c r="L43" i="44"/>
  <c r="L49" i="47"/>
  <c r="L49" i="45"/>
  <c r="L49" i="46"/>
  <c r="L58" i="35"/>
  <c r="G37" i="9"/>
  <c r="F38"/>
  <c r="H40" i="34" s="1"/>
  <c r="K76" i="45"/>
  <c r="Z115" i="29"/>
  <c r="Z110" i="35"/>
  <c r="K75" i="46"/>
  <c r="U106" i="35"/>
  <c r="U214"/>
  <c r="U215" s="1"/>
  <c r="U216"/>
  <c r="U217" s="1"/>
  <c r="S230"/>
  <c r="T217"/>
  <c r="U21"/>
  <c r="U104" s="1"/>
  <c r="R32" i="32"/>
  <c r="U30" i="35" s="1"/>
  <c r="U25"/>
  <c r="U107" s="1"/>
  <c r="R34" i="32"/>
  <c r="R31"/>
  <c r="U29" i="35" s="1"/>
  <c r="Q267"/>
  <c r="M92" i="24" s="1"/>
  <c r="T103" i="35"/>
  <c r="T229"/>
  <c r="T230" s="1"/>
  <c r="T233"/>
  <c r="T234" s="1"/>
  <c r="T235"/>
  <c r="T236" s="1"/>
  <c r="T227"/>
  <c r="T228" s="1"/>
  <c r="Q35" i="32"/>
  <c r="T32" i="35"/>
  <c r="T196" s="1"/>
  <c r="T202" s="1"/>
  <c r="U20"/>
  <c r="R33" i="32"/>
  <c r="U31" i="35" s="1"/>
  <c r="U224" i="46"/>
  <c r="L131" i="34"/>
  <c r="K183"/>
  <c r="K184"/>
  <c r="K185"/>
  <c r="J187"/>
  <c r="K190"/>
  <c r="P284" i="35"/>
  <c r="P285"/>
  <c r="P286"/>
  <c r="Q251"/>
  <c r="P287"/>
  <c r="P307"/>
  <c r="P305"/>
  <c r="P306"/>
  <c r="Q253"/>
  <c r="P308"/>
  <c r="O288"/>
  <c r="O309"/>
  <c r="U243" i="47"/>
  <c r="U242"/>
  <c r="U241"/>
  <c r="U244"/>
  <c r="U248"/>
  <c r="U253"/>
  <c r="U250"/>
  <c r="V191"/>
  <c r="U243" i="46"/>
  <c r="U241"/>
  <c r="U242"/>
  <c r="U244"/>
  <c r="U248"/>
  <c r="U253"/>
  <c r="V190"/>
  <c r="W247" i="45"/>
  <c r="W245"/>
  <c r="W246"/>
  <c r="W248"/>
  <c r="W252"/>
  <c r="W254"/>
  <c r="T228"/>
  <c r="J174" i="34"/>
  <c r="J195"/>
  <c r="N105"/>
  <c r="N106" s="1"/>
  <c r="N107"/>
  <c r="N108" s="1"/>
  <c r="U238" i="44"/>
  <c r="U240"/>
  <c r="U239"/>
  <c r="V185"/>
  <c r="U219"/>
  <c r="U218"/>
  <c r="U217"/>
  <c r="V183"/>
  <c r="U226" i="45"/>
  <c r="U224"/>
  <c r="U225"/>
  <c r="U233"/>
  <c r="U231"/>
  <c r="U227"/>
  <c r="V189"/>
  <c r="V222" i="46"/>
  <c r="V221"/>
  <c r="V220"/>
  <c r="V223"/>
  <c r="V227"/>
  <c r="V232"/>
  <c r="N113" i="34"/>
  <c r="N111"/>
  <c r="N112" s="1"/>
  <c r="M112"/>
  <c r="L129"/>
  <c r="K163"/>
  <c r="K164"/>
  <c r="K162"/>
  <c r="L145"/>
  <c r="H94" i="24" s="1"/>
  <c r="L165" i="34"/>
  <c r="L117"/>
  <c r="L118" s="1"/>
  <c r="L121"/>
  <c r="L122" s="1"/>
  <c r="L119"/>
  <c r="L120" s="1"/>
  <c r="U222" i="47"/>
  <c r="U221"/>
  <c r="U220"/>
  <c r="U223"/>
  <c r="U227"/>
  <c r="U229"/>
  <c r="U232"/>
  <c r="V189"/>
  <c r="T224"/>
  <c r="I153" i="34"/>
  <c r="K153"/>
  <c r="M144"/>
  <c r="L55"/>
  <c r="W188" i="46"/>
  <c r="X191" i="45"/>
  <c r="K124" i="34"/>
  <c r="S94" i="32"/>
  <c r="S21" s="1"/>
  <c r="V26" i="35" s="1"/>
  <c r="V164" s="1"/>
  <c r="S93" i="32"/>
  <c r="S20" s="1"/>
  <c r="S92"/>
  <c r="S19" s="1"/>
  <c r="V24" i="35" s="1"/>
  <c r="V159" s="1"/>
  <c r="S91" i="32"/>
  <c r="S18" s="1"/>
  <c r="V23" i="35" s="1"/>
  <c r="S90" i="32"/>
  <c r="S17" s="1"/>
  <c r="V22" i="35" s="1"/>
  <c r="V105" s="1"/>
  <c r="S89" i="32"/>
  <c r="S16" s="1"/>
  <c r="S88"/>
  <c r="S15" s="1"/>
  <c r="T85"/>
  <c r="T86" s="1"/>
  <c r="I124" i="34"/>
  <c r="L90" i="29"/>
  <c r="L127"/>
  <c r="Z157"/>
  <c r="Y66" i="9"/>
  <c r="AA19"/>
  <c r="Z28"/>
  <c r="Z20"/>
  <c r="AB110" i="35" s="1"/>
  <c r="AA115" i="29"/>
  <c r="K21" i="33"/>
  <c r="M21" i="34" s="1"/>
  <c r="M20"/>
  <c r="M87" s="1"/>
  <c r="M93" s="1"/>
  <c r="L20" i="33"/>
  <c r="N19" i="34"/>
  <c r="N8" i="33"/>
  <c r="N9"/>
  <c r="P13" i="34" s="1"/>
  <c r="P63" s="1"/>
  <c r="P66" s="1"/>
  <c r="M17" i="33"/>
  <c r="O17" i="34" s="1"/>
  <c r="M19" i="33"/>
  <c r="O12" i="34"/>
  <c r="N38"/>
  <c r="M54"/>
  <c r="O12" i="33"/>
  <c r="K29" i="9"/>
  <c r="M63" i="29" l="1"/>
  <c r="M127" s="1"/>
  <c r="M49" i="46"/>
  <c r="M43" i="44"/>
  <c r="M49" i="47"/>
  <c r="M49" i="45"/>
  <c r="M58" i="35"/>
  <c r="L122"/>
  <c r="L85"/>
  <c r="L70" i="44"/>
  <c r="T266" i="35"/>
  <c r="T267" s="1"/>
  <c r="P92" i="24" s="1"/>
  <c r="H37" i="9"/>
  <c r="G38"/>
  <c r="I40" i="34" s="1"/>
  <c r="L76" i="47"/>
  <c r="L76" i="45"/>
  <c r="L75" i="46"/>
  <c r="L148" i="34"/>
  <c r="L169" s="1"/>
  <c r="U103" i="35"/>
  <c r="U235"/>
  <c r="U236" s="1"/>
  <c r="U227"/>
  <c r="U228" s="1"/>
  <c r="U229"/>
  <c r="U230" s="1"/>
  <c r="U233"/>
  <c r="U234" s="1"/>
  <c r="R35" i="32"/>
  <c r="U32" i="35"/>
  <c r="U196" s="1"/>
  <c r="U202" s="1"/>
  <c r="V21"/>
  <c r="V104" s="1"/>
  <c r="S32" i="32"/>
  <c r="V30" i="35" s="1"/>
  <c r="V25"/>
  <c r="V107" s="1"/>
  <c r="S34" i="32"/>
  <c r="S31"/>
  <c r="V29" i="35" s="1"/>
  <c r="S266"/>
  <c r="V20"/>
  <c r="S33" i="32"/>
  <c r="V31" i="35" s="1"/>
  <c r="V106"/>
  <c r="V216"/>
  <c r="V217" s="1"/>
  <c r="V214"/>
  <c r="K187" i="34"/>
  <c r="M131"/>
  <c r="L183"/>
  <c r="L184"/>
  <c r="L185"/>
  <c r="M186"/>
  <c r="L186"/>
  <c r="Q305" i="35"/>
  <c r="Q307"/>
  <c r="Q306"/>
  <c r="R253"/>
  <c r="Q308"/>
  <c r="Q286"/>
  <c r="Q284"/>
  <c r="Q285"/>
  <c r="R251"/>
  <c r="Q287"/>
  <c r="P309"/>
  <c r="P288"/>
  <c r="V243" i="47"/>
  <c r="V242"/>
  <c r="V241"/>
  <c r="V248"/>
  <c r="V244"/>
  <c r="V250"/>
  <c r="V253"/>
  <c r="W191"/>
  <c r="V243" i="46"/>
  <c r="V241"/>
  <c r="V242"/>
  <c r="V244"/>
  <c r="V248"/>
  <c r="V253"/>
  <c r="W190"/>
  <c r="V224"/>
  <c r="X247" i="45"/>
  <c r="X245"/>
  <c r="X246"/>
  <c r="X252"/>
  <c r="X248"/>
  <c r="X254"/>
  <c r="O107" i="34"/>
  <c r="O108" s="1"/>
  <c r="O105"/>
  <c r="O106" s="1"/>
  <c r="I174"/>
  <c r="I195"/>
  <c r="K174"/>
  <c r="K195"/>
  <c r="V239" i="44"/>
  <c r="V240"/>
  <c r="V238"/>
  <c r="W185"/>
  <c r="V217"/>
  <c r="V218"/>
  <c r="V219"/>
  <c r="W183"/>
  <c r="U228" i="45"/>
  <c r="V226"/>
  <c r="V224"/>
  <c r="V225"/>
  <c r="V233"/>
  <c r="V231"/>
  <c r="V227"/>
  <c r="W189"/>
  <c r="W222" i="46"/>
  <c r="W221"/>
  <c r="W220"/>
  <c r="W223"/>
  <c r="W227"/>
  <c r="W232"/>
  <c r="N114" i="34"/>
  <c r="M129"/>
  <c r="L162"/>
  <c r="L163"/>
  <c r="L164"/>
  <c r="O113"/>
  <c r="O114" s="1"/>
  <c r="O111"/>
  <c r="O112" s="1"/>
  <c r="N144"/>
  <c r="M145"/>
  <c r="I94" i="24" s="1"/>
  <c r="M121" i="34"/>
  <c r="M122" s="1"/>
  <c r="M119"/>
  <c r="M120" s="1"/>
  <c r="M117"/>
  <c r="M118" s="1"/>
  <c r="V222" i="47"/>
  <c r="V221"/>
  <c r="V220"/>
  <c r="V227"/>
  <c r="V223"/>
  <c r="V232"/>
  <c r="V229"/>
  <c r="W189"/>
  <c r="U224"/>
  <c r="L153" i="34"/>
  <c r="M55"/>
  <c r="M148" s="1"/>
  <c r="X188" i="46"/>
  <c r="Y191" i="45"/>
  <c r="T94" i="32"/>
  <c r="T21" s="1"/>
  <c r="W26" i="35" s="1"/>
  <c r="W164" s="1"/>
  <c r="T93" i="32"/>
  <c r="T20" s="1"/>
  <c r="T92"/>
  <c r="T19" s="1"/>
  <c r="W24" i="35" s="1"/>
  <c r="W159" s="1"/>
  <c r="T91" i="32"/>
  <c r="T18" s="1"/>
  <c r="W23" i="35" s="1"/>
  <c r="T90" i="32"/>
  <c r="T17" s="1"/>
  <c r="W22" i="35" s="1"/>
  <c r="W105" s="1"/>
  <c r="T89" i="32"/>
  <c r="T16" s="1"/>
  <c r="T88"/>
  <c r="T15" s="1"/>
  <c r="U85"/>
  <c r="U86" s="1"/>
  <c r="L124" i="34"/>
  <c r="M90" i="29"/>
  <c r="AA157"/>
  <c r="Z66" i="9"/>
  <c r="AA28"/>
  <c r="AA20"/>
  <c r="AC110" i="35" s="1"/>
  <c r="AD110" s="1"/>
  <c r="AB115" i="29"/>
  <c r="O38" i="34"/>
  <c r="N19" i="33"/>
  <c r="N17"/>
  <c r="P17" i="34" s="1"/>
  <c r="P12"/>
  <c r="O9" i="33"/>
  <c r="Q13" i="34" s="1"/>
  <c r="Q63" s="1"/>
  <c r="Q66" s="1"/>
  <c r="O8" i="33"/>
  <c r="L21"/>
  <c r="N21" i="34" s="1"/>
  <c r="N20"/>
  <c r="N87" s="1"/>
  <c r="N93" s="1"/>
  <c r="N54"/>
  <c r="M20" i="33"/>
  <c r="O19" i="34"/>
  <c r="P12" i="33"/>
  <c r="L29" i="9"/>
  <c r="L190" i="34" l="1"/>
  <c r="M70" i="44"/>
  <c r="I37" i="9"/>
  <c r="H38"/>
  <c r="J40" i="34" s="1"/>
  <c r="M76" i="47"/>
  <c r="N63" i="29"/>
  <c r="N127" s="1"/>
  <c r="N49" i="45"/>
  <c r="N49" i="46"/>
  <c r="N43" i="44"/>
  <c r="N49" i="47"/>
  <c r="N58" i="35"/>
  <c r="M76" i="45"/>
  <c r="M122" i="35"/>
  <c r="M85"/>
  <c r="M75" i="46"/>
  <c r="U266" i="35"/>
  <c r="U267" s="1"/>
  <c r="Q92" i="24" s="1"/>
  <c r="W21" i="35"/>
  <c r="W104" s="1"/>
  <c r="T32" i="32"/>
  <c r="W30" i="35" s="1"/>
  <c r="W106"/>
  <c r="W216"/>
  <c r="W217" s="1"/>
  <c r="W214"/>
  <c r="W215" s="1"/>
  <c r="V215"/>
  <c r="S267"/>
  <c r="O92" i="24" s="1"/>
  <c r="W25" i="35"/>
  <c r="W107" s="1"/>
  <c r="T31" i="32"/>
  <c r="W29" i="35" s="1"/>
  <c r="T34" i="32"/>
  <c r="V103" i="35"/>
  <c r="V227"/>
  <c r="V235"/>
  <c r="V236" s="1"/>
  <c r="V233"/>
  <c r="V234" s="1"/>
  <c r="V229"/>
  <c r="S35" i="32"/>
  <c r="V32" i="35"/>
  <c r="V196" s="1"/>
  <c r="V202" s="1"/>
  <c r="W20"/>
  <c r="T33" i="32"/>
  <c r="W31" i="35" s="1"/>
  <c r="N131" i="34"/>
  <c r="M183"/>
  <c r="M184"/>
  <c r="M185"/>
  <c r="L187"/>
  <c r="Q288" i="35"/>
  <c r="R305"/>
  <c r="R306"/>
  <c r="R307"/>
  <c r="S253"/>
  <c r="R308"/>
  <c r="Q309"/>
  <c r="R284"/>
  <c r="R286"/>
  <c r="R285"/>
  <c r="R287"/>
  <c r="S251"/>
  <c r="W243" i="47"/>
  <c r="W242"/>
  <c r="W241"/>
  <c r="W244"/>
  <c r="W248"/>
  <c r="W250"/>
  <c r="W253"/>
  <c r="X191"/>
  <c r="W224" i="46"/>
  <c r="W243"/>
  <c r="W241"/>
  <c r="W242"/>
  <c r="W244"/>
  <c r="W248"/>
  <c r="W253"/>
  <c r="X190"/>
  <c r="Y247" i="45"/>
  <c r="Y245"/>
  <c r="Y246"/>
  <c r="Y248"/>
  <c r="Y252"/>
  <c r="Y254"/>
  <c r="V228"/>
  <c r="M169" i="34"/>
  <c r="M190"/>
  <c r="N145"/>
  <c r="J94" i="24" s="1"/>
  <c r="N186" i="34"/>
  <c r="L174"/>
  <c r="L195"/>
  <c r="P107"/>
  <c r="P108" s="1"/>
  <c r="P105"/>
  <c r="P106" s="1"/>
  <c r="W240" i="44"/>
  <c r="W238"/>
  <c r="W239"/>
  <c r="X185"/>
  <c r="W218"/>
  <c r="W219"/>
  <c r="W217"/>
  <c r="X183"/>
  <c r="W226" i="45"/>
  <c r="W224"/>
  <c r="W225"/>
  <c r="W233"/>
  <c r="W231"/>
  <c r="W227"/>
  <c r="X189"/>
  <c r="X222" i="46"/>
  <c r="X221"/>
  <c r="X220"/>
  <c r="X232"/>
  <c r="X223"/>
  <c r="X227"/>
  <c r="V224" i="47"/>
  <c r="N129" i="34"/>
  <c r="M163"/>
  <c r="M162"/>
  <c r="M164"/>
  <c r="P111"/>
  <c r="P113"/>
  <c r="M165"/>
  <c r="N117"/>
  <c r="N118" s="1"/>
  <c r="N121"/>
  <c r="N122" s="1"/>
  <c r="N119"/>
  <c r="N120" s="1"/>
  <c r="W222" i="47"/>
  <c r="W221"/>
  <c r="W220"/>
  <c r="W223"/>
  <c r="W227"/>
  <c r="W229"/>
  <c r="W232"/>
  <c r="X189"/>
  <c r="O144" i="34"/>
  <c r="M153"/>
  <c r="N55"/>
  <c r="N148" s="1"/>
  <c r="Y188" i="46"/>
  <c r="Z191" i="45"/>
  <c r="U94" i="32"/>
  <c r="U21" s="1"/>
  <c r="X26" i="35" s="1"/>
  <c r="X164" s="1"/>
  <c r="U93" i="32"/>
  <c r="U20" s="1"/>
  <c r="U92"/>
  <c r="U19" s="1"/>
  <c r="X24" i="35" s="1"/>
  <c r="X159" s="1"/>
  <c r="U91" i="32"/>
  <c r="U18" s="1"/>
  <c r="X23" i="35" s="1"/>
  <c r="U90" i="32"/>
  <c r="U17" s="1"/>
  <c r="X22" i="35" s="1"/>
  <c r="X105" s="1"/>
  <c r="U89" i="32"/>
  <c r="U16" s="1"/>
  <c r="U88"/>
  <c r="U15" s="1"/>
  <c r="V85"/>
  <c r="V86" s="1"/>
  <c r="M124" i="34"/>
  <c r="N90" i="29"/>
  <c r="AA66" i="9"/>
  <c r="AC115" i="29"/>
  <c r="AD115" s="1"/>
  <c r="AB157"/>
  <c r="P38" i="34"/>
  <c r="P8" i="33"/>
  <c r="P9"/>
  <c r="R13" i="34" s="1"/>
  <c r="R63" s="1"/>
  <c r="R66" s="1"/>
  <c r="O17" i="33"/>
  <c r="Q17" i="34" s="1"/>
  <c r="Q12"/>
  <c r="O19" i="33"/>
  <c r="M21"/>
  <c r="O21" i="34" s="1"/>
  <c r="O20"/>
  <c r="O87" s="1"/>
  <c r="O93" s="1"/>
  <c r="O54"/>
  <c r="P19"/>
  <c r="N20" i="33"/>
  <c r="Q12"/>
  <c r="M29" i="9"/>
  <c r="N76" i="47" l="1"/>
  <c r="N122" i="35"/>
  <c r="N85"/>
  <c r="N76" i="45"/>
  <c r="N75" i="46"/>
  <c r="O63" i="29"/>
  <c r="O127" s="1"/>
  <c r="O49" i="47"/>
  <c r="O49" i="45"/>
  <c r="O49" i="46"/>
  <c r="O43" i="44"/>
  <c r="O58" i="35"/>
  <c r="N70" i="44"/>
  <c r="J37" i="9"/>
  <c r="I38"/>
  <c r="K40" i="34" s="1"/>
  <c r="X21" i="35"/>
  <c r="X104" s="1"/>
  <c r="U32" i="32"/>
  <c r="X30" i="35" s="1"/>
  <c r="X20"/>
  <c r="U33" i="32"/>
  <c r="X31" i="35" s="1"/>
  <c r="X106"/>
  <c r="X214"/>
  <c r="X215" s="1"/>
  <c r="X216"/>
  <c r="X217" s="1"/>
  <c r="W103"/>
  <c r="W235"/>
  <c r="W236" s="1"/>
  <c r="W229"/>
  <c r="W230" s="1"/>
  <c r="W227"/>
  <c r="W228" s="1"/>
  <c r="W233"/>
  <c r="W234" s="1"/>
  <c r="V230"/>
  <c r="V228"/>
  <c r="T35" i="32"/>
  <c r="W32" i="35"/>
  <c r="W196" s="1"/>
  <c r="W202" s="1"/>
  <c r="X25"/>
  <c r="X107" s="1"/>
  <c r="U34" i="32"/>
  <c r="U31"/>
  <c r="X29" i="35" s="1"/>
  <c r="M187" i="34"/>
  <c r="O131"/>
  <c r="N183"/>
  <c r="N184"/>
  <c r="N185"/>
  <c r="O186"/>
  <c r="S285" i="35"/>
  <c r="S286"/>
  <c r="S284"/>
  <c r="S287"/>
  <c r="T251"/>
  <c r="S306"/>
  <c r="S305"/>
  <c r="S307"/>
  <c r="T253"/>
  <c r="S308"/>
  <c r="R309"/>
  <c r="R288"/>
  <c r="X243" i="47"/>
  <c r="X242"/>
  <c r="X241"/>
  <c r="X244"/>
  <c r="X248"/>
  <c r="X250"/>
  <c r="X253"/>
  <c r="Y191"/>
  <c r="W224"/>
  <c r="X243" i="46"/>
  <c r="X241"/>
  <c r="X242"/>
  <c r="X244"/>
  <c r="X248"/>
  <c r="X253"/>
  <c r="Y190"/>
  <c r="Z247" i="45"/>
  <c r="Z246"/>
  <c r="Z245"/>
  <c r="Z252"/>
  <c r="Z248"/>
  <c r="Z254"/>
  <c r="N169" i="34"/>
  <c r="N190"/>
  <c r="Q107"/>
  <c r="Q108" s="1"/>
  <c r="Q105"/>
  <c r="M174"/>
  <c r="M195"/>
  <c r="X238" i="44"/>
  <c r="X240"/>
  <c r="X239"/>
  <c r="Y185"/>
  <c r="X217"/>
  <c r="X218"/>
  <c r="X219"/>
  <c r="Y183"/>
  <c r="X226" i="45"/>
  <c r="X224"/>
  <c r="X225"/>
  <c r="X233"/>
  <c r="X231"/>
  <c r="X227"/>
  <c r="Y189"/>
  <c r="W228"/>
  <c r="Y222" i="46"/>
  <c r="Y220"/>
  <c r="Y221"/>
  <c r="Y223"/>
  <c r="Y227"/>
  <c r="Y232"/>
  <c r="X224"/>
  <c r="Q113" i="34"/>
  <c r="Q114" s="1"/>
  <c r="Q111"/>
  <c r="Q112" s="1"/>
  <c r="P112"/>
  <c r="P114"/>
  <c r="O129"/>
  <c r="O165" s="1"/>
  <c r="N164"/>
  <c r="N162"/>
  <c r="N163"/>
  <c r="N165"/>
  <c r="O145"/>
  <c r="K94" i="24" s="1"/>
  <c r="O117" i="34"/>
  <c r="O118" s="1"/>
  <c r="O121"/>
  <c r="O122" s="1"/>
  <c r="O119"/>
  <c r="O120" s="1"/>
  <c r="X222" i="47"/>
  <c r="X220"/>
  <c r="X221"/>
  <c r="X223"/>
  <c r="X227"/>
  <c r="X229"/>
  <c r="X232"/>
  <c r="Y189"/>
  <c r="N153" i="34"/>
  <c r="P144"/>
  <c r="O55"/>
  <c r="O148" s="1"/>
  <c r="Z188" i="46"/>
  <c r="AA191" i="45"/>
  <c r="V94" i="32"/>
  <c r="V21" s="1"/>
  <c r="Y26" i="35" s="1"/>
  <c r="Y164" s="1"/>
  <c r="V93" i="32"/>
  <c r="V20" s="1"/>
  <c r="V92"/>
  <c r="V19" s="1"/>
  <c r="Y24" i="35" s="1"/>
  <c r="Y159" s="1"/>
  <c r="V91" i="32"/>
  <c r="V18" s="1"/>
  <c r="Y23" i="35" s="1"/>
  <c r="V90" i="32"/>
  <c r="V17" s="1"/>
  <c r="Y22" i="35" s="1"/>
  <c r="Y105" s="1"/>
  <c r="V89" i="32"/>
  <c r="V16" s="1"/>
  <c r="V88"/>
  <c r="V15" s="1"/>
  <c r="W85"/>
  <c r="Q106" i="34"/>
  <c r="N124"/>
  <c r="O83"/>
  <c r="AC157" i="29"/>
  <c r="AD157" s="1"/>
  <c r="N21" i="33"/>
  <c r="P21" i="34" s="1"/>
  <c r="P20"/>
  <c r="P87" s="1"/>
  <c r="P93" s="1"/>
  <c r="Q8" i="33"/>
  <c r="Q9"/>
  <c r="S13" i="34" s="1"/>
  <c r="S63" s="1"/>
  <c r="S66" s="1"/>
  <c r="Q38"/>
  <c r="Q19"/>
  <c r="O20" i="33"/>
  <c r="P17"/>
  <c r="R17" i="34" s="1"/>
  <c r="P19" i="33"/>
  <c r="R12" i="34"/>
  <c r="P54"/>
  <c r="R12" i="33"/>
  <c r="N29" i="9"/>
  <c r="O90" i="29" l="1"/>
  <c r="O70" i="44"/>
  <c r="K37" i="9"/>
  <c r="J38"/>
  <c r="L40" i="34" s="1"/>
  <c r="O85" i="35"/>
  <c r="O122"/>
  <c r="O76" i="47"/>
  <c r="O76" i="45"/>
  <c r="P63" i="29"/>
  <c r="P90" s="1"/>
  <c r="P43" i="44"/>
  <c r="P49" i="47"/>
  <c r="P49" i="45"/>
  <c r="P49" i="46"/>
  <c r="P58" i="35"/>
  <c r="O75" i="46"/>
  <c r="N187" i="34"/>
  <c r="V266" i="35"/>
  <c r="W266"/>
  <c r="W267" s="1"/>
  <c r="S92" i="24" s="1"/>
  <c r="Y106" i="35"/>
  <c r="Y214"/>
  <c r="Y215" s="1"/>
  <c r="Y216"/>
  <c r="Y217" s="1"/>
  <c r="Y21"/>
  <c r="Y104" s="1"/>
  <c r="V32" i="32"/>
  <c r="Y30" i="35" s="1"/>
  <c r="Y25"/>
  <c r="Y107" s="1"/>
  <c r="V34" i="32"/>
  <c r="V31"/>
  <c r="Y29" i="35" s="1"/>
  <c r="U35" i="32"/>
  <c r="X32" i="35"/>
  <c r="X196" s="1"/>
  <c r="X202" s="1"/>
  <c r="X103"/>
  <c r="X229"/>
  <c r="X235"/>
  <c r="X236" s="1"/>
  <c r="X233"/>
  <c r="X234" s="1"/>
  <c r="X227"/>
  <c r="X228" s="1"/>
  <c r="Y20"/>
  <c r="V33" i="32"/>
  <c r="Y31" i="35" s="1"/>
  <c r="W86" i="32"/>
  <c r="X85"/>
  <c r="V267" i="35"/>
  <c r="R92" i="24" s="1"/>
  <c r="Y224" i="46"/>
  <c r="P131" i="34"/>
  <c r="O183"/>
  <c r="O184"/>
  <c r="O185"/>
  <c r="P186"/>
  <c r="T305" i="35"/>
  <c r="T307"/>
  <c r="T306"/>
  <c r="T308"/>
  <c r="U253"/>
  <c r="S288"/>
  <c r="T284"/>
  <c r="T286"/>
  <c r="T285"/>
  <c r="T287"/>
  <c r="U251"/>
  <c r="S309"/>
  <c r="Y243" i="47"/>
  <c r="Y242"/>
  <c r="Y241"/>
  <c r="Y244"/>
  <c r="Y248"/>
  <c r="Y250"/>
  <c r="Y253"/>
  <c r="Z191"/>
  <c r="Y243" i="46"/>
  <c r="Y241"/>
  <c r="Y242"/>
  <c r="Y244"/>
  <c r="Y248"/>
  <c r="Y253"/>
  <c r="Z190"/>
  <c r="AA247" i="45"/>
  <c r="AA246"/>
  <c r="AA245"/>
  <c r="AA248"/>
  <c r="AA252"/>
  <c r="AA254"/>
  <c r="O169" i="34"/>
  <c r="O190"/>
  <c r="R107"/>
  <c r="R105"/>
  <c r="R106" s="1"/>
  <c r="N174"/>
  <c r="N195"/>
  <c r="Y238" i="44"/>
  <c r="Y240"/>
  <c r="Y239"/>
  <c r="Z185"/>
  <c r="Y218"/>
  <c r="Y217"/>
  <c r="Y219"/>
  <c r="Z183"/>
  <c r="X228" i="45"/>
  <c r="Y226"/>
  <c r="Y224"/>
  <c r="Y225"/>
  <c r="Y233"/>
  <c r="Y227"/>
  <c r="Y231"/>
  <c r="Z189"/>
  <c r="Z222" i="46"/>
  <c r="Z220"/>
  <c r="Z221"/>
  <c r="Z223"/>
  <c r="Z232"/>
  <c r="Z227"/>
  <c r="X224" i="47"/>
  <c r="P129" i="34"/>
  <c r="O163"/>
  <c r="O164"/>
  <c r="O162"/>
  <c r="R111"/>
  <c r="R112" s="1"/>
  <c r="R113"/>
  <c r="R114" s="1"/>
  <c r="P145"/>
  <c r="L94" i="24" s="1"/>
  <c r="P165" i="34"/>
  <c r="P117"/>
  <c r="P118" s="1"/>
  <c r="P121"/>
  <c r="P122" s="1"/>
  <c r="P119"/>
  <c r="P120" s="1"/>
  <c r="Y222" i="47"/>
  <c r="Y220"/>
  <c r="Y221"/>
  <c r="Y223"/>
  <c r="Y227"/>
  <c r="Y232"/>
  <c r="Y229"/>
  <c r="Z189"/>
  <c r="O153" i="34"/>
  <c r="Q144"/>
  <c r="P55"/>
  <c r="P148" s="1"/>
  <c r="AA188" i="46"/>
  <c r="AB191" i="45"/>
  <c r="W94" i="32"/>
  <c r="W21" s="1"/>
  <c r="Z26" i="35" s="1"/>
  <c r="Z164" s="1"/>
  <c r="W93" i="32"/>
  <c r="W20" s="1"/>
  <c r="W92"/>
  <c r="W19" s="1"/>
  <c r="Z24" i="35" s="1"/>
  <c r="Z159" s="1"/>
  <c r="W91" i="32"/>
  <c r="W18" s="1"/>
  <c r="Z23" i="35" s="1"/>
  <c r="W90" i="32"/>
  <c r="W17" s="1"/>
  <c r="Z22" i="35" s="1"/>
  <c r="Z105" s="1"/>
  <c r="W89" i="32"/>
  <c r="W16" s="1"/>
  <c r="W88"/>
  <c r="W15" s="1"/>
  <c r="R108" i="34"/>
  <c r="O124"/>
  <c r="P127" i="29"/>
  <c r="R38" i="34"/>
  <c r="R8" i="33"/>
  <c r="R9"/>
  <c r="T13" i="34" s="1"/>
  <c r="T63" s="1"/>
  <c r="T66" s="1"/>
  <c r="Q20"/>
  <c r="Q87" s="1"/>
  <c r="Q93" s="1"/>
  <c r="O21" i="33"/>
  <c r="Q21" i="34" s="1"/>
  <c r="Q54"/>
  <c r="P20" i="33"/>
  <c r="R19" i="34"/>
  <c r="Q17" i="33"/>
  <c r="S17" i="34" s="1"/>
  <c r="Q19" i="33"/>
  <c r="S12" i="34"/>
  <c r="S12" i="33"/>
  <c r="O29" i="9"/>
  <c r="P76" i="47" l="1"/>
  <c r="P76" i="45"/>
  <c r="P75" i="46"/>
  <c r="Q63" i="29"/>
  <c r="Q49" i="46"/>
  <c r="Q43" i="44"/>
  <c r="Q49" i="47"/>
  <c r="Q49" i="45"/>
  <c r="Q58" i="35"/>
  <c r="P122"/>
  <c r="P85"/>
  <c r="P70" i="44"/>
  <c r="L37" i="9"/>
  <c r="K38"/>
  <c r="M40" i="34" s="1"/>
  <c r="Z21" i="35"/>
  <c r="Z104" s="1"/>
  <c r="W32" i="32"/>
  <c r="Z30" i="35" s="1"/>
  <c r="Z25"/>
  <c r="Z107" s="1"/>
  <c r="W34" i="32"/>
  <c r="W31"/>
  <c r="Z29" i="35" s="1"/>
  <c r="Z20"/>
  <c r="W33" i="32"/>
  <c r="Z31" i="35" s="1"/>
  <c r="Z106"/>
  <c r="Z216"/>
  <c r="Z217" s="1"/>
  <c r="Z214"/>
  <c r="Z215" s="1"/>
  <c r="X86" i="32"/>
  <c r="Y85"/>
  <c r="V35"/>
  <c r="Y32" i="35"/>
  <c r="Y196" s="1"/>
  <c r="Y202" s="1"/>
  <c r="Y103"/>
  <c r="Y227"/>
  <c r="Y228" s="1"/>
  <c r="Y233"/>
  <c r="Y234" s="1"/>
  <c r="Y235"/>
  <c r="Y236" s="1"/>
  <c r="Y229"/>
  <c r="Y230" s="1"/>
  <c r="X230"/>
  <c r="X266" s="1"/>
  <c r="Z224" i="46"/>
  <c r="O187" i="34"/>
  <c r="Q131"/>
  <c r="P185"/>
  <c r="P183"/>
  <c r="P184"/>
  <c r="Q186"/>
  <c r="T288" i="35"/>
  <c r="U305"/>
  <c r="U307"/>
  <c r="U306"/>
  <c r="U308"/>
  <c r="V253"/>
  <c r="U286"/>
  <c r="U285"/>
  <c r="U284"/>
  <c r="U287"/>
  <c r="U288" s="1"/>
  <c r="V251"/>
  <c r="T309"/>
  <c r="Z243" i="47"/>
  <c r="Z242"/>
  <c r="Z241"/>
  <c r="Z244"/>
  <c r="Z248"/>
  <c r="Z250"/>
  <c r="Z253"/>
  <c r="AA191"/>
  <c r="Z243" i="46"/>
  <c r="Z242"/>
  <c r="Z241"/>
  <c r="Z244"/>
  <c r="Z248"/>
  <c r="Z253"/>
  <c r="AA190"/>
  <c r="AB247" i="45"/>
  <c r="AB246"/>
  <c r="AB245"/>
  <c r="AB248"/>
  <c r="AB252"/>
  <c r="AB254"/>
  <c r="S107" i="34"/>
  <c r="S105"/>
  <c r="S106" s="1"/>
  <c r="O174"/>
  <c r="O195"/>
  <c r="P169"/>
  <c r="P190"/>
  <c r="Z239" i="44"/>
  <c r="Z240"/>
  <c r="Z238"/>
  <c r="AA185"/>
  <c r="Z217"/>
  <c r="Z219"/>
  <c r="Z218"/>
  <c r="AA183"/>
  <c r="Y228" i="45"/>
  <c r="Z226"/>
  <c r="Z225"/>
  <c r="Z224"/>
  <c r="Z233"/>
  <c r="Z231"/>
  <c r="Z227"/>
  <c r="AA189"/>
  <c r="AA222" i="46"/>
  <c r="AA220"/>
  <c r="AA221"/>
  <c r="AA223"/>
  <c r="AA227"/>
  <c r="AA232"/>
  <c r="S111" i="34"/>
  <c r="S112" s="1"/>
  <c r="S113"/>
  <c r="S114" s="1"/>
  <c r="Q129"/>
  <c r="Q165" s="1"/>
  <c r="P163"/>
  <c r="P162"/>
  <c r="P164"/>
  <c r="Q145"/>
  <c r="M94" i="24" s="1"/>
  <c r="Q121" i="34"/>
  <c r="Q122" s="1"/>
  <c r="Q119"/>
  <c r="Q120" s="1"/>
  <c r="Q117"/>
  <c r="Q118" s="1"/>
  <c r="Y224" i="47"/>
  <c r="Z222"/>
  <c r="Z221"/>
  <c r="Z220"/>
  <c r="Z223"/>
  <c r="Z227"/>
  <c r="Z229"/>
  <c r="Z232"/>
  <c r="AA189"/>
  <c r="P153" i="34"/>
  <c r="R144"/>
  <c r="Q55"/>
  <c r="Q148" s="1"/>
  <c r="AB188" i="46"/>
  <c r="AC191" i="45"/>
  <c r="S108" i="34"/>
  <c r="P124"/>
  <c r="Q90" i="29"/>
  <c r="Q127"/>
  <c r="S38" i="34"/>
  <c r="P21" i="33"/>
  <c r="R21" i="34" s="1"/>
  <c r="R20"/>
  <c r="R87" s="1"/>
  <c r="R93" s="1"/>
  <c r="R19" i="33"/>
  <c r="T12" i="34"/>
  <c r="R17" i="33"/>
  <c r="T17" i="34" s="1"/>
  <c r="R54"/>
  <c r="S9" i="33"/>
  <c r="U13" i="34" s="1"/>
  <c r="U63" s="1"/>
  <c r="U66" s="1"/>
  <c r="S8" i="33"/>
  <c r="Q20"/>
  <c r="S19" i="34"/>
  <c r="T12" i="33"/>
  <c r="P29" i="9"/>
  <c r="Q76" i="45" l="1"/>
  <c r="M37" i="9"/>
  <c r="L38"/>
  <c r="N40" i="34" s="1"/>
  <c r="Q122" i="35"/>
  <c r="Q85"/>
  <c r="Q75" i="46"/>
  <c r="Q70" i="44"/>
  <c r="R63" i="29"/>
  <c r="R49" i="45"/>
  <c r="R49" i="46"/>
  <c r="R43" i="44"/>
  <c r="R49" i="47"/>
  <c r="R58" i="35"/>
  <c r="Q76" i="47"/>
  <c r="U309" i="35"/>
  <c r="Y266"/>
  <c r="Y267" s="1"/>
  <c r="U92" i="24" s="1"/>
  <c r="Z103" i="35"/>
  <c r="Z233"/>
  <c r="Z234" s="1"/>
  <c r="Z227"/>
  <c r="Z228" s="1"/>
  <c r="Z229"/>
  <c r="Z230" s="1"/>
  <c r="Z235"/>
  <c r="Z236" s="1"/>
  <c r="W35" i="32"/>
  <c r="Z32" i="35"/>
  <c r="Z196" s="1"/>
  <c r="Z202" s="1"/>
  <c r="X267"/>
  <c r="T92" i="24" s="1"/>
  <c r="X91" i="32"/>
  <c r="X18" s="1"/>
  <c r="AA23" i="35" s="1"/>
  <c r="X89" i="32"/>
  <c r="X16" s="1"/>
  <c r="X88"/>
  <c r="X15" s="1"/>
  <c r="X93"/>
  <c r="X20" s="1"/>
  <c r="X92"/>
  <c r="X19" s="1"/>
  <c r="AA24" i="35" s="1"/>
  <c r="AA159" s="1"/>
  <c r="X90" i="32"/>
  <c r="X17" s="1"/>
  <c r="AA22" i="35" s="1"/>
  <c r="AA105" s="1"/>
  <c r="X94" i="32"/>
  <c r="X21" s="1"/>
  <c r="AA26" i="35" s="1"/>
  <c r="AA164" s="1"/>
  <c r="Z85" i="32"/>
  <c r="Z86" s="1"/>
  <c r="Y86"/>
  <c r="AA224" i="46"/>
  <c r="P187" i="34"/>
  <c r="R131"/>
  <c r="Q183"/>
  <c r="Q184"/>
  <c r="Q187" s="1"/>
  <c r="Q185"/>
  <c r="R186"/>
  <c r="V305" i="35"/>
  <c r="V306"/>
  <c r="V307"/>
  <c r="V308"/>
  <c r="W253"/>
  <c r="V284"/>
  <c r="V286"/>
  <c r="V285"/>
  <c r="V287"/>
  <c r="W251"/>
  <c r="AA243" i="47"/>
  <c r="AA242"/>
  <c r="AA241"/>
  <c r="AA244"/>
  <c r="AA248"/>
  <c r="AA250"/>
  <c r="AA253"/>
  <c r="AB191"/>
  <c r="AA243" i="46"/>
  <c r="AA242"/>
  <c r="AA241"/>
  <c r="AA244"/>
  <c r="AA248"/>
  <c r="AA253"/>
  <c r="AB190"/>
  <c r="AC247" i="45"/>
  <c r="AC246"/>
  <c r="AC245"/>
  <c r="AC248"/>
  <c r="AC252"/>
  <c r="AC254"/>
  <c r="Z228"/>
  <c r="Q169" i="34"/>
  <c r="Q190"/>
  <c r="P174"/>
  <c r="P195"/>
  <c r="T105"/>
  <c r="T106" s="1"/>
  <c r="T107"/>
  <c r="T108" s="1"/>
  <c r="AA239" i="44"/>
  <c r="AA240"/>
  <c r="AA238"/>
  <c r="AB185"/>
  <c r="AA219"/>
  <c r="AA217"/>
  <c r="AA218"/>
  <c r="AB183"/>
  <c r="AA226" i="45"/>
  <c r="AA225"/>
  <c r="AA224"/>
  <c r="AA233"/>
  <c r="AA227"/>
  <c r="AA228" s="1"/>
  <c r="AA231"/>
  <c r="AB189"/>
  <c r="AB222" i="46"/>
  <c r="AB220"/>
  <c r="AB221"/>
  <c r="AB223"/>
  <c r="AB232"/>
  <c r="AB227"/>
  <c r="R129" i="34"/>
  <c r="Q163"/>
  <c r="Q164"/>
  <c r="Q162"/>
  <c r="T111"/>
  <c r="T112" s="1"/>
  <c r="T113"/>
  <c r="T114" s="1"/>
  <c r="Q153"/>
  <c r="R145"/>
  <c r="N94" i="24" s="1"/>
  <c r="R165" i="34"/>
  <c r="R117"/>
  <c r="R118" s="1"/>
  <c r="R121"/>
  <c r="R122" s="1"/>
  <c r="R119"/>
  <c r="R120" s="1"/>
  <c r="Z224" i="47"/>
  <c r="AA222"/>
  <c r="AA221"/>
  <c r="AA220"/>
  <c r="AA223"/>
  <c r="AA227"/>
  <c r="AA229"/>
  <c r="AA232"/>
  <c r="AB189"/>
  <c r="S144" i="34"/>
  <c r="R55"/>
  <c r="R148" s="1"/>
  <c r="AC188" i="46"/>
  <c r="Q124" i="34"/>
  <c r="R90" i="29"/>
  <c r="R127"/>
  <c r="R20" i="33"/>
  <c r="T19" i="34"/>
  <c r="T38"/>
  <c r="T8" i="33"/>
  <c r="T9"/>
  <c r="V13" i="34" s="1"/>
  <c r="V63" s="1"/>
  <c r="V66" s="1"/>
  <c r="S17" i="33"/>
  <c r="U17" i="34" s="1"/>
  <c r="S19" i="33"/>
  <c r="U12" i="34"/>
  <c r="Q21" i="33"/>
  <c r="S21" i="34" s="1"/>
  <c r="S20"/>
  <c r="S87" s="1"/>
  <c r="S93" s="1"/>
  <c r="S54"/>
  <c r="U12" i="33"/>
  <c r="Q29" i="9"/>
  <c r="R70" i="44" l="1"/>
  <c r="R76" i="47"/>
  <c r="S63" i="29"/>
  <c r="S127" s="1"/>
  <c r="S49" i="47"/>
  <c r="S49" i="45"/>
  <c r="S49" i="46"/>
  <c r="S43" i="44"/>
  <c r="S58" i="35"/>
  <c r="R85"/>
  <c r="R122"/>
  <c r="R76" i="45"/>
  <c r="N37" i="9"/>
  <c r="M38"/>
  <c r="O40" i="34" s="1"/>
  <c r="R75" i="46"/>
  <c r="Z266" i="35"/>
  <c r="Z267" s="1"/>
  <c r="V92" i="24" s="1"/>
  <c r="AA20" i="35"/>
  <c r="X33" i="32"/>
  <c r="AA31" i="35" s="1"/>
  <c r="Z89" i="32"/>
  <c r="Z16" s="1"/>
  <c r="Z93"/>
  <c r="Z20" s="1"/>
  <c r="Z91"/>
  <c r="Z18" s="1"/>
  <c r="AC23" i="35" s="1"/>
  <c r="Z90" i="32"/>
  <c r="Z17" s="1"/>
  <c r="AC22" i="35" s="1"/>
  <c r="Z88" i="32"/>
  <c r="Z15" s="1"/>
  <c r="Z94"/>
  <c r="Z21" s="1"/>
  <c r="AC26" i="35" s="1"/>
  <c r="Z92" i="32"/>
  <c r="Z19" s="1"/>
  <c r="AC24" i="35" s="1"/>
  <c r="AA25"/>
  <c r="AA107" s="1"/>
  <c r="X34" i="32"/>
  <c r="X31"/>
  <c r="AA29" i="35" s="1"/>
  <c r="Y92" i="32"/>
  <c r="Y19" s="1"/>
  <c r="AB24" i="35" s="1"/>
  <c r="AB159" s="1"/>
  <c r="Y90" i="32"/>
  <c r="Y17" s="1"/>
  <c r="AB22" i="35" s="1"/>
  <c r="AB105" s="1"/>
  <c r="Y93" i="32"/>
  <c r="Y20" s="1"/>
  <c r="Y89"/>
  <c r="Y16" s="1"/>
  <c r="Y94"/>
  <c r="Y21" s="1"/>
  <c r="AB26" i="35" s="1"/>
  <c r="AB164" s="1"/>
  <c r="Y91" i="32"/>
  <c r="Y18" s="1"/>
  <c r="AB23" i="35" s="1"/>
  <c r="Y88" i="32"/>
  <c r="Y15" s="1"/>
  <c r="AA106" i="35"/>
  <c r="AA214"/>
  <c r="AA215" s="1"/>
  <c r="AA216"/>
  <c r="AA217" s="1"/>
  <c r="AA21"/>
  <c r="AA104" s="1"/>
  <c r="X32" i="32"/>
  <c r="AA30" i="35" s="1"/>
  <c r="AB224" i="46"/>
  <c r="S131" i="34"/>
  <c r="R183"/>
  <c r="R184"/>
  <c r="R185"/>
  <c r="V309" i="35"/>
  <c r="W305"/>
  <c r="W307"/>
  <c r="W306"/>
  <c r="W308"/>
  <c r="X253"/>
  <c r="V288"/>
  <c r="W285"/>
  <c r="W286"/>
  <c r="W284"/>
  <c r="W287"/>
  <c r="X251"/>
  <c r="AB243" i="47"/>
  <c r="AB242"/>
  <c r="AB241"/>
  <c r="AB244"/>
  <c r="AB248"/>
  <c r="AB250"/>
  <c r="AB253"/>
  <c r="AC191"/>
  <c r="AB243" i="46"/>
  <c r="AB242"/>
  <c r="AB241"/>
  <c r="AB244"/>
  <c r="AB248"/>
  <c r="AB253"/>
  <c r="AC190"/>
  <c r="U107" i="34"/>
  <c r="U108" s="1"/>
  <c r="U105"/>
  <c r="R169"/>
  <c r="R190"/>
  <c r="Q174"/>
  <c r="Q195"/>
  <c r="AB239" i="44"/>
  <c r="AB238"/>
  <c r="AB240"/>
  <c r="AC185"/>
  <c r="AB219"/>
  <c r="AB217"/>
  <c r="AB218"/>
  <c r="AC183"/>
  <c r="AB226" i="45"/>
  <c r="AB225"/>
  <c r="AB224"/>
  <c r="AB233"/>
  <c r="AB231"/>
  <c r="AB227"/>
  <c r="AC189"/>
  <c r="AC222" i="46"/>
  <c r="AC221"/>
  <c r="D221" s="1"/>
  <c r="E8" i="24" s="1"/>
  <c r="AC220" i="46"/>
  <c r="D220" s="1"/>
  <c r="AC223"/>
  <c r="AC227"/>
  <c r="D227" s="1"/>
  <c r="E14" i="24" s="1"/>
  <c r="AC232" i="46"/>
  <c r="U113" i="34"/>
  <c r="U114" s="1"/>
  <c r="U111"/>
  <c r="U112" s="1"/>
  <c r="S129"/>
  <c r="R164"/>
  <c r="R162"/>
  <c r="R163"/>
  <c r="S145"/>
  <c r="O94" i="24" s="1"/>
  <c r="S165" i="34"/>
  <c r="S117"/>
  <c r="S118" s="1"/>
  <c r="S121"/>
  <c r="S122" s="1"/>
  <c r="S119"/>
  <c r="S120" s="1"/>
  <c r="AB222" i="47"/>
  <c r="AB220"/>
  <c r="AB221"/>
  <c r="AB223"/>
  <c r="AB224" s="1"/>
  <c r="AB227"/>
  <c r="AB229"/>
  <c r="AB232"/>
  <c r="AC189"/>
  <c r="AA224"/>
  <c r="T144" i="34"/>
  <c r="R153"/>
  <c r="S55"/>
  <c r="S148" s="1"/>
  <c r="U106"/>
  <c r="R124"/>
  <c r="S90" i="29"/>
  <c r="U38" i="34"/>
  <c r="T17" i="33"/>
  <c r="V17" i="34" s="1"/>
  <c r="T19" i="33"/>
  <c r="V12" i="34"/>
  <c r="T54"/>
  <c r="S20" i="33"/>
  <c r="U19" i="34"/>
  <c r="R21" i="33"/>
  <c r="T21" i="34" s="1"/>
  <c r="T20"/>
  <c r="T87" s="1"/>
  <c r="T93" s="1"/>
  <c r="U8" i="33"/>
  <c r="U9"/>
  <c r="W13" i="34" s="1"/>
  <c r="W63" s="1"/>
  <c r="W66" s="1"/>
  <c r="V12" i="33"/>
  <c r="R29" i="9"/>
  <c r="O37" l="1"/>
  <c r="N38"/>
  <c r="P40" i="34" s="1"/>
  <c r="S75" i="46"/>
  <c r="T63" i="29"/>
  <c r="T43" i="44"/>
  <c r="T49" i="47"/>
  <c r="T49" i="45"/>
  <c r="T49" i="46"/>
  <c r="T58" i="35"/>
  <c r="S70" i="44"/>
  <c r="S85" i="35"/>
  <c r="S122"/>
  <c r="S76" i="47"/>
  <c r="S76" i="45"/>
  <c r="R187" i="34"/>
  <c r="AB106" i="35"/>
  <c r="AB214"/>
  <c r="AB215" s="1"/>
  <c r="AB216"/>
  <c r="AB217" s="1"/>
  <c r="AC159"/>
  <c r="AD24"/>
  <c r="AC106"/>
  <c r="AC216"/>
  <c r="AC214"/>
  <c r="AD23"/>
  <c r="AA103"/>
  <c r="AA227"/>
  <c r="AA228" s="1"/>
  <c r="AA233"/>
  <c r="AA234" s="1"/>
  <c r="AA235"/>
  <c r="AA236" s="1"/>
  <c r="AA229"/>
  <c r="AA230" s="1"/>
  <c r="AC105"/>
  <c r="AD22"/>
  <c r="AB20"/>
  <c r="Y33" i="32"/>
  <c r="AB31" i="35" s="1"/>
  <c r="AB25"/>
  <c r="AB107" s="1"/>
  <c r="Y34" i="32"/>
  <c r="Y31"/>
  <c r="AB29" i="35" s="1"/>
  <c r="X35" i="32"/>
  <c r="AA32" i="35"/>
  <c r="AA196" s="1"/>
  <c r="AA202" s="1"/>
  <c r="AC20"/>
  <c r="Z33" i="32"/>
  <c r="AC31" i="35" s="1"/>
  <c r="AC21"/>
  <c r="Z32" i="32"/>
  <c r="AC30" i="35" s="1"/>
  <c r="AB21"/>
  <c r="AB104" s="1"/>
  <c r="Y32" i="32"/>
  <c r="AB30" i="35" s="1"/>
  <c r="AC164"/>
  <c r="AD26"/>
  <c r="AC25"/>
  <c r="Z31" i="32"/>
  <c r="AC29" i="35" s="1"/>
  <c r="Z34" i="32"/>
  <c r="T131" i="34"/>
  <c r="T186" s="1"/>
  <c r="S185"/>
  <c r="S183"/>
  <c r="S184"/>
  <c r="S186"/>
  <c r="S187" s="1"/>
  <c r="W309" i="35"/>
  <c r="X284"/>
  <c r="X285"/>
  <c r="X286"/>
  <c r="X287"/>
  <c r="Y251"/>
  <c r="X306"/>
  <c r="X307"/>
  <c r="X305"/>
  <c r="X308"/>
  <c r="Y253"/>
  <c r="W288"/>
  <c r="AC243" i="47"/>
  <c r="AC242"/>
  <c r="AC241"/>
  <c r="AC244"/>
  <c r="AC248"/>
  <c r="AC250"/>
  <c r="AC253"/>
  <c r="AC243" i="46"/>
  <c r="AC242"/>
  <c r="AC241"/>
  <c r="AC244"/>
  <c r="AC248"/>
  <c r="AC253"/>
  <c r="V107" i="34"/>
  <c r="V105"/>
  <c r="V106" s="1"/>
  <c r="R174"/>
  <c r="R195"/>
  <c r="S169"/>
  <c r="S190"/>
  <c r="AC238" i="44"/>
  <c r="AC240"/>
  <c r="AC239"/>
  <c r="AC218"/>
  <c r="D218" s="1"/>
  <c r="F8" i="24" s="1"/>
  <c r="AC217" i="44"/>
  <c r="D217" s="1"/>
  <c r="AC219"/>
  <c r="D219" s="1"/>
  <c r="F9" i="24" s="1"/>
  <c r="AB228" i="45"/>
  <c r="AC226"/>
  <c r="D226" s="1"/>
  <c r="D9" i="24" s="1"/>
  <c r="AC225" i="45"/>
  <c r="D225" s="1"/>
  <c r="D8" i="24" s="1"/>
  <c r="AC224" i="45"/>
  <c r="D224" s="1"/>
  <c r="AC233"/>
  <c r="D233" s="1"/>
  <c r="D16" i="24" s="1"/>
  <c r="AC227" i="45"/>
  <c r="AC231"/>
  <c r="D231" s="1"/>
  <c r="D14" i="24" s="1"/>
  <c r="AC224" i="46"/>
  <c r="D223"/>
  <c r="E10" i="24" s="1"/>
  <c r="E7"/>
  <c r="V111" i="34"/>
  <c r="V112" s="1"/>
  <c r="V113"/>
  <c r="V114" s="1"/>
  <c r="T129"/>
  <c r="T165" s="1"/>
  <c r="S164"/>
  <c r="S162"/>
  <c r="S163"/>
  <c r="T145"/>
  <c r="P94" i="24" s="1"/>
  <c r="T117" i="34"/>
  <c r="T118" s="1"/>
  <c r="T121"/>
  <c r="T122" s="1"/>
  <c r="T119"/>
  <c r="T120" s="1"/>
  <c r="AC222" i="47"/>
  <c r="D222" s="1"/>
  <c r="B9" i="24" s="1"/>
  <c r="AC220" i="47"/>
  <c r="D220" s="1"/>
  <c r="AC221"/>
  <c r="D221" s="1"/>
  <c r="B8" i="24" s="1"/>
  <c r="AC223" i="47"/>
  <c r="AC227"/>
  <c r="D227" s="1"/>
  <c r="B14" i="24" s="1"/>
  <c r="AC229" i="47"/>
  <c r="D229" s="1"/>
  <c r="B16" i="24" s="1"/>
  <c r="AC232" i="47"/>
  <c r="S153" i="34"/>
  <c r="U144"/>
  <c r="T55"/>
  <c r="T148" s="1"/>
  <c r="V108"/>
  <c r="S124"/>
  <c r="T90" i="29"/>
  <c r="T127"/>
  <c r="U17" i="33"/>
  <c r="W17" i="34" s="1"/>
  <c r="W12"/>
  <c r="U19" i="33"/>
  <c r="T20"/>
  <c r="V19" i="34"/>
  <c r="U54"/>
  <c r="V38"/>
  <c r="S21" i="33"/>
  <c r="U21" i="34" s="1"/>
  <c r="U20"/>
  <c r="U87" s="1"/>
  <c r="U93" s="1"/>
  <c r="V8" i="33"/>
  <c r="V9"/>
  <c r="X13" i="34" s="1"/>
  <c r="X63" s="1"/>
  <c r="X66" s="1"/>
  <c r="W12" i="33"/>
  <c r="S29" i="9"/>
  <c r="T76" i="47" l="1"/>
  <c r="P37" i="9"/>
  <c r="O38"/>
  <c r="Q40" i="34" s="1"/>
  <c r="T76" i="45"/>
  <c r="U63" i="29"/>
  <c r="U127" s="1"/>
  <c r="U49" i="46"/>
  <c r="U43" i="44"/>
  <c r="U49" i="47"/>
  <c r="U49" i="45"/>
  <c r="U58" i="35"/>
  <c r="T75" i="46"/>
  <c r="T122" i="35"/>
  <c r="T85"/>
  <c r="T70" i="44"/>
  <c r="AA266" i="35"/>
  <c r="AA267" s="1"/>
  <c r="W92" i="24" s="1"/>
  <c r="AB103" i="35"/>
  <c r="AB227"/>
  <c r="AB228" s="1"/>
  <c r="AB235"/>
  <c r="AB236" s="1"/>
  <c r="AB233"/>
  <c r="AB234" s="1"/>
  <c r="AB229"/>
  <c r="AB230" s="1"/>
  <c r="AD106"/>
  <c r="Z35" i="32"/>
  <c r="AC32" i="35"/>
  <c r="AC196" s="1"/>
  <c r="AC202" s="1"/>
  <c r="AD164"/>
  <c r="AC103"/>
  <c r="AC227"/>
  <c r="AC235"/>
  <c r="AC236" s="1"/>
  <c r="AC233"/>
  <c r="AC234" s="1"/>
  <c r="AC229"/>
  <c r="AD20"/>
  <c r="Y35" i="32"/>
  <c r="AB32" i="35"/>
  <c r="AB196" s="1"/>
  <c r="AB202" s="1"/>
  <c r="AC107"/>
  <c r="AD25"/>
  <c r="AC104"/>
  <c r="AD21"/>
  <c r="AC217"/>
  <c r="AD217" s="1"/>
  <c r="AD216"/>
  <c r="AD105"/>
  <c r="AC215"/>
  <c r="AD214"/>
  <c r="AD159"/>
  <c r="AB266"/>
  <c r="AB267" s="1"/>
  <c r="X92" i="24" s="1"/>
  <c r="AD29" i="35"/>
  <c r="AD30"/>
  <c r="U131" i="34"/>
  <c r="T183"/>
  <c r="T187" s="1"/>
  <c r="T184"/>
  <c r="T185"/>
  <c r="X309" i="35"/>
  <c r="X288"/>
  <c r="Y307"/>
  <c r="Y306"/>
  <c r="Y305"/>
  <c r="Y308"/>
  <c r="Y309" s="1"/>
  <c r="Z253"/>
  <c r="Y286"/>
  <c r="Y285"/>
  <c r="Y284"/>
  <c r="Y287"/>
  <c r="Z251"/>
  <c r="T169" i="34"/>
  <c r="T190"/>
  <c r="W105"/>
  <c r="W106" s="1"/>
  <c r="W107"/>
  <c r="W108" s="1"/>
  <c r="S174"/>
  <c r="S195"/>
  <c r="F7" i="24"/>
  <c r="AC228" i="45"/>
  <c r="D227"/>
  <c r="D10" i="24" s="1"/>
  <c r="D7"/>
  <c r="W113" i="34"/>
  <c r="W114" s="1"/>
  <c r="W111"/>
  <c r="W112" s="1"/>
  <c r="U129"/>
  <c r="T164"/>
  <c r="T163"/>
  <c r="T162"/>
  <c r="U145"/>
  <c r="Q94" i="24" s="1"/>
  <c r="U165" i="34"/>
  <c r="U121"/>
  <c r="U122" s="1"/>
  <c r="U119"/>
  <c r="U120" s="1"/>
  <c r="U117"/>
  <c r="U118" s="1"/>
  <c r="AC224" i="47"/>
  <c r="D223"/>
  <c r="B10" i="24" s="1"/>
  <c r="B7"/>
  <c r="D232" i="47"/>
  <c r="B19" i="24" s="1"/>
  <c r="T153" i="34"/>
  <c r="V144"/>
  <c r="U55"/>
  <c r="U148" s="1"/>
  <c r="T124"/>
  <c r="V54"/>
  <c r="W9" i="33"/>
  <c r="Y13" i="34" s="1"/>
  <c r="Y63" s="1"/>
  <c r="Y66" s="1"/>
  <c r="W8" i="33"/>
  <c r="V19"/>
  <c r="X12" i="34"/>
  <c r="V17" i="33"/>
  <c r="X17" i="34" s="1"/>
  <c r="W38"/>
  <c r="U20" i="33"/>
  <c r="W19" i="34"/>
  <c r="T21" i="33"/>
  <c r="V21" i="34" s="1"/>
  <c r="V20"/>
  <c r="V87" s="1"/>
  <c r="V93" s="1"/>
  <c r="X12" i="33"/>
  <c r="T29" i="9"/>
  <c r="U90" i="29" l="1"/>
  <c r="V63"/>
  <c r="V127" s="1"/>
  <c r="V49" i="45"/>
  <c r="V49" i="46"/>
  <c r="V43" i="44"/>
  <c r="V49" i="47"/>
  <c r="V58" i="35"/>
  <c r="U70" i="44"/>
  <c r="U76" i="47"/>
  <c r="U76" i="45"/>
  <c r="Q37" i="9"/>
  <c r="P38"/>
  <c r="R40" i="34" s="1"/>
  <c r="U122" i="35"/>
  <c r="U85"/>
  <c r="U75" i="46"/>
  <c r="AD104" i="35"/>
  <c r="AC230"/>
  <c r="AD230" s="1"/>
  <c r="AD229"/>
  <c r="AD103"/>
  <c r="AC228"/>
  <c r="AD228" s="1"/>
  <c r="AD227"/>
  <c r="AD215"/>
  <c r="AD107"/>
  <c r="V131" i="34"/>
  <c r="U183"/>
  <c r="U184"/>
  <c r="U185"/>
  <c r="V186"/>
  <c r="U186"/>
  <c r="Z285" i="35"/>
  <c r="Z284"/>
  <c r="Z286"/>
  <c r="Z287"/>
  <c r="AA251"/>
  <c r="Z305"/>
  <c r="Z306"/>
  <c r="Z307"/>
  <c r="Z308"/>
  <c r="AA253"/>
  <c r="Y288"/>
  <c r="X105" i="34"/>
  <c r="X106" s="1"/>
  <c r="X107"/>
  <c r="U169"/>
  <c r="U190"/>
  <c r="T174"/>
  <c r="T195"/>
  <c r="D223" i="45"/>
  <c r="D6" i="24" s="1"/>
  <c r="X111" i="34"/>
  <c r="X112" s="1"/>
  <c r="X113"/>
  <c r="X114" s="1"/>
  <c r="V129"/>
  <c r="V165" s="1"/>
  <c r="U164"/>
  <c r="U163"/>
  <c r="U162"/>
  <c r="W144"/>
  <c r="V145"/>
  <c r="R94" i="24" s="1"/>
  <c r="V121" i="34"/>
  <c r="V122" s="1"/>
  <c r="V119"/>
  <c r="V120" s="1"/>
  <c r="V117"/>
  <c r="V118" s="1"/>
  <c r="D219" i="47"/>
  <c r="B6" i="24" s="1"/>
  <c r="U153" i="34"/>
  <c r="V55"/>
  <c r="V148" s="1"/>
  <c r="X108"/>
  <c r="U124"/>
  <c r="W20"/>
  <c r="W87" s="1"/>
  <c r="W93" s="1"/>
  <c r="U21" i="33"/>
  <c r="W21" i="34" s="1"/>
  <c r="X19"/>
  <c r="V20" i="33"/>
  <c r="W54" i="34"/>
  <c r="X38"/>
  <c r="X8" i="33"/>
  <c r="X9"/>
  <c r="Z13" i="34" s="1"/>
  <c r="Z63" s="1"/>
  <c r="Z66" s="1"/>
  <c r="W17" i="33"/>
  <c r="Y17" i="34" s="1"/>
  <c r="Y12"/>
  <c r="W19" i="33"/>
  <c r="Y12"/>
  <c r="U29" i="9"/>
  <c r="V90" i="29" l="1"/>
  <c r="W63"/>
  <c r="W127" s="1"/>
  <c r="W49" i="47"/>
  <c r="W49" i="45"/>
  <c r="W49" i="46"/>
  <c r="W43" i="44"/>
  <c r="W58" i="35"/>
  <c r="R37" i="9"/>
  <c r="Q38"/>
  <c r="S40" i="34" s="1"/>
  <c r="V76" i="47"/>
  <c r="V122" i="35"/>
  <c r="V85"/>
  <c r="V76" i="45"/>
  <c r="V75" i="46"/>
  <c r="V70" i="44"/>
  <c r="Z288" i="35"/>
  <c r="AC266"/>
  <c r="AC267" s="1"/>
  <c r="Y92" i="24" s="1"/>
  <c r="W131" i="34"/>
  <c r="V183"/>
  <c r="V184"/>
  <c r="V185"/>
  <c r="W186"/>
  <c r="U187"/>
  <c r="Z309" i="35"/>
  <c r="AA285"/>
  <c r="AA286"/>
  <c r="AA284"/>
  <c r="AA287"/>
  <c r="AB251"/>
  <c r="AA307"/>
  <c r="AA305"/>
  <c r="AA306"/>
  <c r="AA308"/>
  <c r="AA309" s="1"/>
  <c r="AB253"/>
  <c r="U174" i="34"/>
  <c r="U195"/>
  <c r="V169"/>
  <c r="V190"/>
  <c r="Y105"/>
  <c r="Y106" s="1"/>
  <c r="Y107"/>
  <c r="Y108" s="1"/>
  <c r="Y113"/>
  <c r="Y114" s="1"/>
  <c r="Y111"/>
  <c r="Y112" s="1"/>
  <c r="W129"/>
  <c r="W165" s="1"/>
  <c r="V163"/>
  <c r="V162"/>
  <c r="V164"/>
  <c r="W145"/>
  <c r="S94" i="24" s="1"/>
  <c r="W117" i="34"/>
  <c r="W118" s="1"/>
  <c r="W121"/>
  <c r="W122" s="1"/>
  <c r="W119"/>
  <c r="W120" s="1"/>
  <c r="X144"/>
  <c r="V153"/>
  <c r="W55"/>
  <c r="W148" s="1"/>
  <c r="V124"/>
  <c r="W20" i="33"/>
  <c r="Y19" i="34"/>
  <c r="Y38"/>
  <c r="X54"/>
  <c r="V21" i="33"/>
  <c r="X21" i="34" s="1"/>
  <c r="X20"/>
  <c r="X87" s="1"/>
  <c r="X93" s="1"/>
  <c r="X17" i="33"/>
  <c r="Z17" i="34" s="1"/>
  <c r="X19" i="33"/>
  <c r="Z12" i="34"/>
  <c r="Y8" i="33"/>
  <c r="Y9"/>
  <c r="AA13" i="34" s="1"/>
  <c r="AA63" s="1"/>
  <c r="AA66" s="1"/>
  <c r="Z12" i="33"/>
  <c r="V29" i="9"/>
  <c r="W90" i="29" l="1"/>
  <c r="W70" i="44"/>
  <c r="W85" i="35"/>
  <c r="W122"/>
  <c r="W76" i="47"/>
  <c r="X63" i="29"/>
  <c r="X127" s="1"/>
  <c r="X43" i="44"/>
  <c r="X49" i="47"/>
  <c r="X49" i="45"/>
  <c r="X49" i="46"/>
  <c r="X58" i="35"/>
  <c r="S37" i="9"/>
  <c r="R38"/>
  <c r="T40" i="34" s="1"/>
  <c r="W76" i="45"/>
  <c r="W75" i="46"/>
  <c r="V187" i="34"/>
  <c r="AA288" i="35"/>
  <c r="D266"/>
  <c r="X131" i="34"/>
  <c r="W183"/>
  <c r="W184"/>
  <c r="W185"/>
  <c r="X186"/>
  <c r="AB306" i="35"/>
  <c r="AB307"/>
  <c r="AB305"/>
  <c r="AB308"/>
  <c r="AC253"/>
  <c r="AB284"/>
  <c r="AB286"/>
  <c r="AB285"/>
  <c r="AB287"/>
  <c r="AC251"/>
  <c r="V174" i="34"/>
  <c r="V195"/>
  <c r="Z105"/>
  <c r="Z107"/>
  <c r="Z108" s="1"/>
  <c r="W169"/>
  <c r="W190"/>
  <c r="Z111"/>
  <c r="Z112" s="1"/>
  <c r="Z113"/>
  <c r="Z114" s="1"/>
  <c r="X129"/>
  <c r="X165" s="1"/>
  <c r="W162"/>
  <c r="W163"/>
  <c r="W164"/>
  <c r="X145"/>
  <c r="T94" i="24" s="1"/>
  <c r="Y144" i="34"/>
  <c r="X117"/>
  <c r="X118" s="1"/>
  <c r="X121"/>
  <c r="X122" s="1"/>
  <c r="X119"/>
  <c r="X120" s="1"/>
  <c r="W153"/>
  <c r="X55"/>
  <c r="X148" s="1"/>
  <c r="W124"/>
  <c r="Z106"/>
  <c r="W21" i="33"/>
  <c r="Y21" i="34" s="1"/>
  <c r="Y20"/>
  <c r="Y87" s="1"/>
  <c r="Y93" s="1"/>
  <c r="X20" i="33"/>
  <c r="Z19" i="34"/>
  <c r="Z38"/>
  <c r="Y17" i="33"/>
  <c r="AA17" i="34" s="1"/>
  <c r="Y19" i="33"/>
  <c r="AA12" i="34"/>
  <c r="Y54"/>
  <c r="AA12" i="33"/>
  <c r="W29" i="9"/>
  <c r="X90" i="29" l="1"/>
  <c r="Y63"/>
  <c r="Y127" s="1"/>
  <c r="Y49" i="46"/>
  <c r="Y43" i="44"/>
  <c r="Y49" i="47"/>
  <c r="Y49" i="45"/>
  <c r="Y58" i="35"/>
  <c r="T37" i="9"/>
  <c r="S38"/>
  <c r="U40" i="34" s="1"/>
  <c r="X76" i="47"/>
  <c r="X76" i="45"/>
  <c r="X75" i="46"/>
  <c r="X122" i="35"/>
  <c r="X85"/>
  <c r="X70" i="44"/>
  <c r="W187" i="34"/>
  <c r="Y131"/>
  <c r="X183"/>
  <c r="X184"/>
  <c r="X185"/>
  <c r="Y186"/>
  <c r="X187"/>
  <c r="AB309" i="35"/>
  <c r="AC286"/>
  <c r="AC284"/>
  <c r="D284" s="1"/>
  <c r="G7" i="24" s="1"/>
  <c r="AC285" i="35"/>
  <c r="D285" s="1"/>
  <c r="G8" i="24" s="1"/>
  <c r="AC287" i="35"/>
  <c r="AC306"/>
  <c r="D306" s="1"/>
  <c r="G29" i="24" s="1"/>
  <c r="AC305" i="35"/>
  <c r="D305" s="1"/>
  <c r="G28" i="24" s="1"/>
  <c r="AC307" i="35"/>
  <c r="AC308"/>
  <c r="AB288"/>
  <c r="AA107" i="34"/>
  <c r="AA108" s="1"/>
  <c r="AA105"/>
  <c r="AA106" s="1"/>
  <c r="W174"/>
  <c r="W195"/>
  <c r="X169"/>
  <c r="X190"/>
  <c r="AA111"/>
  <c r="AA112" s="1"/>
  <c r="AA113"/>
  <c r="AA114" s="1"/>
  <c r="Y129"/>
  <c r="Y165" s="1"/>
  <c r="X163"/>
  <c r="X164"/>
  <c r="X162"/>
  <c r="Y145"/>
  <c r="U94" i="24" s="1"/>
  <c r="Y121" i="34"/>
  <c r="Y122" s="1"/>
  <c r="Y119"/>
  <c r="Y120" s="1"/>
  <c r="Y117"/>
  <c r="Y118" s="1"/>
  <c r="Z144"/>
  <c r="X153"/>
  <c r="Y55"/>
  <c r="Y148" s="1"/>
  <c r="Y190" s="1"/>
  <c r="X124"/>
  <c r="Y83"/>
  <c r="Y90" i="29"/>
  <c r="X21" i="33"/>
  <c r="Z21" i="34" s="1"/>
  <c r="Z20"/>
  <c r="Z87" s="1"/>
  <c r="Z93" s="1"/>
  <c r="Z8" i="33"/>
  <c r="Z9"/>
  <c r="AB13" i="34" s="1"/>
  <c r="AB63" s="1"/>
  <c r="AB66" s="1"/>
  <c r="AA9" i="33"/>
  <c r="AC13" i="34" s="1"/>
  <c r="AA8" i="33"/>
  <c r="AA19" i="34"/>
  <c r="Y20" i="33"/>
  <c r="Z54" i="34"/>
  <c r="AA38"/>
  <c r="X29" i="9"/>
  <c r="Y76" i="45" l="1"/>
  <c r="Y122" i="35"/>
  <c r="Y85"/>
  <c r="Y75" i="46"/>
  <c r="U37" i="9"/>
  <c r="T38"/>
  <c r="V40" i="34" s="1"/>
  <c r="Y70" i="44"/>
  <c r="Z63" i="29"/>
  <c r="Z90" s="1"/>
  <c r="Z49" i="45"/>
  <c r="Z49" i="46"/>
  <c r="Z43" i="44"/>
  <c r="Z49" i="47"/>
  <c r="Z58" i="35"/>
  <c r="Y76" i="47"/>
  <c r="AC63" i="34"/>
  <c r="AD63" s="1"/>
  <c r="AD13"/>
  <c r="Z131"/>
  <c r="Y183"/>
  <c r="Y187" s="1"/>
  <c r="Y184"/>
  <c r="Y185"/>
  <c r="AC309" i="35"/>
  <c r="D308"/>
  <c r="G31" i="24" s="1"/>
  <c r="AC288" i="35"/>
  <c r="D287"/>
  <c r="G10" i="24" s="1"/>
  <c r="X174" i="34"/>
  <c r="X195"/>
  <c r="Y169"/>
  <c r="Z129"/>
  <c r="Y163"/>
  <c r="Y162"/>
  <c r="Y164"/>
  <c r="Z145"/>
  <c r="V94" i="24" s="1"/>
  <c r="Z165" i="34"/>
  <c r="Z117"/>
  <c r="Z118" s="1"/>
  <c r="Z121"/>
  <c r="Z122" s="1"/>
  <c r="Z119"/>
  <c r="Z120" s="1"/>
  <c r="Y153"/>
  <c r="AA144"/>
  <c r="Z55"/>
  <c r="Z148" s="1"/>
  <c r="Y124"/>
  <c r="AA17" i="33"/>
  <c r="AC17" i="34" s="1"/>
  <c r="AA19" i="33"/>
  <c r="AC12" i="34"/>
  <c r="Z19" i="33"/>
  <c r="AB12" i="34"/>
  <c r="Z17" i="33"/>
  <c r="AB17" i="34" s="1"/>
  <c r="AA54"/>
  <c r="Y21" i="33"/>
  <c r="AA21" i="34" s="1"/>
  <c r="AA20"/>
  <c r="AA87" s="1"/>
  <c r="AA93" s="1"/>
  <c r="AC66"/>
  <c r="AD66" s="1"/>
  <c r="Y29" i="9"/>
  <c r="Z127" i="29" l="1"/>
  <c r="Z85" i="35"/>
  <c r="Z122"/>
  <c r="Z76" i="45"/>
  <c r="Z75" i="46"/>
  <c r="V37" i="9"/>
  <c r="U38"/>
  <c r="W40" i="34" s="1"/>
  <c r="Z70" i="44"/>
  <c r="AA63" i="29"/>
  <c r="AA90" s="1"/>
  <c r="AA49" i="47"/>
  <c r="AA49" i="45"/>
  <c r="AA49" i="46"/>
  <c r="AA43" i="44"/>
  <c r="AA58" i="35"/>
  <c r="Z76" i="47"/>
  <c r="AD12" i="34"/>
  <c r="AA131"/>
  <c r="Z184"/>
  <c r="Z185"/>
  <c r="Z183"/>
  <c r="Z186"/>
  <c r="AC105"/>
  <c r="AC106" s="1"/>
  <c r="AC107"/>
  <c r="AC108" s="1"/>
  <c r="Z169"/>
  <c r="Z190"/>
  <c r="Y174"/>
  <c r="Y195"/>
  <c r="AB107"/>
  <c r="AB105"/>
  <c r="AB106" s="1"/>
  <c r="AC111"/>
  <c r="AC113"/>
  <c r="AA129"/>
  <c r="AA165" s="1"/>
  <c r="Z162"/>
  <c r="Z164"/>
  <c r="Z163"/>
  <c r="AB113"/>
  <c r="AB114" s="1"/>
  <c r="AB111"/>
  <c r="AB112" s="1"/>
  <c r="AA145"/>
  <c r="W94" i="24" s="1"/>
  <c r="AA117" i="34"/>
  <c r="AA118" s="1"/>
  <c r="AA121"/>
  <c r="AA122" s="1"/>
  <c r="AA119"/>
  <c r="AA120" s="1"/>
  <c r="Z153"/>
  <c r="Z124"/>
  <c r="AA55"/>
  <c r="AA148" s="1"/>
  <c r="AB108"/>
  <c r="AA83"/>
  <c r="AA20" i="33"/>
  <c r="AC19" i="34"/>
  <c r="AB38"/>
  <c r="AC38"/>
  <c r="Z20" i="33"/>
  <c r="AB19" i="34"/>
  <c r="AA29" i="9"/>
  <c r="Z29"/>
  <c r="AA127" i="29" l="1"/>
  <c r="AC63"/>
  <c r="AC90" s="1"/>
  <c r="AC49" i="46"/>
  <c r="AC43" i="44"/>
  <c r="AC49" i="47"/>
  <c r="AC49" i="45"/>
  <c r="AC58" i="35"/>
  <c r="AA85"/>
  <c r="AA122"/>
  <c r="AA76" i="47"/>
  <c r="AB63" i="29"/>
  <c r="AB127" s="1"/>
  <c r="AB43" i="44"/>
  <c r="AB49" i="47"/>
  <c r="AB49" i="45"/>
  <c r="AB49" i="46"/>
  <c r="AB58" i="35"/>
  <c r="AA76" i="45"/>
  <c r="AA75" i="46"/>
  <c r="W37" i="9"/>
  <c r="V38"/>
  <c r="X40" i="34" s="1"/>
  <c r="AA70" i="44"/>
  <c r="AD38" i="34"/>
  <c r="AB131"/>
  <c r="AA183"/>
  <c r="AA184"/>
  <c r="AA185"/>
  <c r="Z187"/>
  <c r="AA186"/>
  <c r="Z174"/>
  <c r="Z195"/>
  <c r="AA169"/>
  <c r="AA190"/>
  <c r="AC112"/>
  <c r="AD112" s="1"/>
  <c r="AD111"/>
  <c r="AC114"/>
  <c r="AD114" s="1"/>
  <c r="AD113"/>
  <c r="AB129"/>
  <c r="AA163"/>
  <c r="AA164"/>
  <c r="AA162"/>
  <c r="AA153"/>
  <c r="AB144"/>
  <c r="AB186" s="1"/>
  <c r="AC144"/>
  <c r="AA124"/>
  <c r="AA21" i="33"/>
  <c r="AC21" i="34" s="1"/>
  <c r="AC20"/>
  <c r="AC87" s="1"/>
  <c r="AC54"/>
  <c r="Z21" i="33"/>
  <c r="AB21" i="34" s="1"/>
  <c r="AB20"/>
  <c r="AB87" s="1"/>
  <c r="AB93" s="1"/>
  <c r="AB54"/>
  <c r="I44" i="29"/>
  <c r="I213" s="1"/>
  <c r="H44"/>
  <c r="H213" s="1"/>
  <c r="G44"/>
  <c r="G213" s="1"/>
  <c r="AC42"/>
  <c r="AB42"/>
  <c r="AA42"/>
  <c r="Z42"/>
  <c r="Y42"/>
  <c r="X42"/>
  <c r="W42"/>
  <c r="V42"/>
  <c r="U42"/>
  <c r="T42"/>
  <c r="S42"/>
  <c r="R42"/>
  <c r="Q42"/>
  <c r="P42"/>
  <c r="O42"/>
  <c r="N42"/>
  <c r="M42"/>
  <c r="L42"/>
  <c r="K42"/>
  <c r="J42"/>
  <c r="J217" s="1"/>
  <c r="J323" s="1"/>
  <c r="F44"/>
  <c r="Z32" i="31"/>
  <c r="Y32"/>
  <c r="X32"/>
  <c r="W32"/>
  <c r="V32"/>
  <c r="U32"/>
  <c r="T32"/>
  <c r="S32"/>
  <c r="R32"/>
  <c r="Q32"/>
  <c r="P32"/>
  <c r="O32"/>
  <c r="N32"/>
  <c r="M32"/>
  <c r="L32"/>
  <c r="K32"/>
  <c r="J32"/>
  <c r="I32"/>
  <c r="H32"/>
  <c r="G32"/>
  <c r="F32"/>
  <c r="E32"/>
  <c r="D32"/>
  <c r="Z31"/>
  <c r="Y31"/>
  <c r="X31"/>
  <c r="W31"/>
  <c r="V31"/>
  <c r="U31"/>
  <c r="T31"/>
  <c r="S31"/>
  <c r="R31"/>
  <c r="Q31"/>
  <c r="P31"/>
  <c r="O31"/>
  <c r="N31"/>
  <c r="M31"/>
  <c r="L31"/>
  <c r="K31"/>
  <c r="J31"/>
  <c r="I31"/>
  <c r="H31"/>
  <c r="G31"/>
  <c r="F31"/>
  <c r="E31"/>
  <c r="D31"/>
  <c r="G42" i="29" s="1"/>
  <c r="G217" s="1"/>
  <c r="G323" s="1"/>
  <c r="C32" i="31"/>
  <c r="C31"/>
  <c r="F42" i="29" s="1"/>
  <c r="AC93" i="34" l="1"/>
  <c r="AD87"/>
  <c r="AB90" i="29"/>
  <c r="AC127"/>
  <c r="AD127" s="1"/>
  <c r="AD63"/>
  <c r="AB76" i="47"/>
  <c r="AC76" i="45"/>
  <c r="AD49"/>
  <c r="AB76"/>
  <c r="AC122" i="35"/>
  <c r="AC85"/>
  <c r="AD58"/>
  <c r="AC75" i="46"/>
  <c r="AD49"/>
  <c r="X37" i="9"/>
  <c r="W38"/>
  <c r="Y40" i="34" s="1"/>
  <c r="AB75" i="46"/>
  <c r="AC70" i="44"/>
  <c r="AD43"/>
  <c r="AB122" i="35"/>
  <c r="AB85"/>
  <c r="AB70" i="44"/>
  <c r="AC76" i="47"/>
  <c r="AD49"/>
  <c r="AD54" i="34"/>
  <c r="I42" i="29"/>
  <c r="I217" s="1"/>
  <c r="I323" s="1"/>
  <c r="D144" i="34"/>
  <c r="D140" s="1"/>
  <c r="AC131"/>
  <c r="AB183"/>
  <c r="AB184"/>
  <c r="AB185"/>
  <c r="AA187"/>
  <c r="AA174"/>
  <c r="AA195"/>
  <c r="AC129"/>
  <c r="AC165" s="1"/>
  <c r="AB163"/>
  <c r="AB162"/>
  <c r="AB164"/>
  <c r="AB145"/>
  <c r="X94" i="24" s="1"/>
  <c r="AB165" i="34"/>
  <c r="AC145"/>
  <c r="Y94" i="24" s="1"/>
  <c r="AB117" i="34"/>
  <c r="AB118" s="1"/>
  <c r="AB121"/>
  <c r="AB122" s="1"/>
  <c r="AB119"/>
  <c r="AB120" s="1"/>
  <c r="AC121"/>
  <c r="AC122" s="1"/>
  <c r="AC119"/>
  <c r="AC120" s="1"/>
  <c r="AC117"/>
  <c r="AC118" s="1"/>
  <c r="AB55"/>
  <c r="AB148" s="1"/>
  <c r="AC55"/>
  <c r="H42" i="29"/>
  <c r="AC83" i="34"/>
  <c r="F217" i="29"/>
  <c r="F323" s="1"/>
  <c r="F213"/>
  <c r="X4" i="10"/>
  <c r="Z4"/>
  <c r="X5"/>
  <c r="Z5"/>
  <c r="X9"/>
  <c r="Z9"/>
  <c r="X10"/>
  <c r="Z10"/>
  <c r="X11"/>
  <c r="Z11"/>
  <c r="X12"/>
  <c r="Y12"/>
  <c r="Z12"/>
  <c r="AA12"/>
  <c r="X15"/>
  <c r="Y15"/>
  <c r="Z15"/>
  <c r="AA15"/>
  <c r="X18"/>
  <c r="Z18"/>
  <c r="X19"/>
  <c r="Z19"/>
  <c r="X21"/>
  <c r="Z21"/>
  <c r="AD93" i="34" l="1"/>
  <c r="AD75" i="46"/>
  <c r="AD122" i="35"/>
  <c r="Y37" i="9"/>
  <c r="X38"/>
  <c r="Z40" i="34" s="1"/>
  <c r="AD85" i="35"/>
  <c r="AD76" i="47"/>
  <c r="AD70" i="44"/>
  <c r="AD76" i="45"/>
  <c r="Z83" i="34"/>
  <c r="AB83"/>
  <c r="AB131" i="46"/>
  <c r="AB133" i="47"/>
  <c r="AB132" i="45"/>
  <c r="AB130" i="46"/>
  <c r="AB136" s="1"/>
  <c r="AB131" i="45"/>
  <c r="AB132" i="47"/>
  <c r="AB138" s="1"/>
  <c r="Z133" i="45"/>
  <c r="Z139" s="1"/>
  <c r="Z132" i="46"/>
  <c r="Z138" s="1"/>
  <c r="Z134" i="47"/>
  <c r="Z140" s="1"/>
  <c r="Z132" i="45"/>
  <c r="Z133" i="47"/>
  <c r="Z131" i="46"/>
  <c r="Z137" s="1"/>
  <c r="AB133" i="45"/>
  <c r="AB139" s="1"/>
  <c r="AB132" i="46"/>
  <c r="AB138" s="1"/>
  <c r="AB134" i="47"/>
  <c r="AB140" s="1"/>
  <c r="Z131" i="45"/>
  <c r="Z137" s="1"/>
  <c r="Z130" i="46"/>
  <c r="Z136" s="1"/>
  <c r="Z132" i="47"/>
  <c r="Z138" s="1"/>
  <c r="AC148" i="34"/>
  <c r="D148" s="1"/>
  <c r="AD55"/>
  <c r="AB187"/>
  <c r="AC183"/>
  <c r="AC184"/>
  <c r="D184" s="1"/>
  <c r="H29" i="24" s="1"/>
  <c r="AC185" i="34"/>
  <c r="D185" s="1"/>
  <c r="H30" i="24" s="1"/>
  <c r="AC186" i="34"/>
  <c r="D186" s="1"/>
  <c r="H31" i="24" s="1"/>
  <c r="Z138" i="45"/>
  <c r="Z139" i="47"/>
  <c r="AC138" i="45"/>
  <c r="AC137" i="46"/>
  <c r="AC139" i="47"/>
  <c r="AA138"/>
  <c r="AA137" i="45"/>
  <c r="AA136" i="46"/>
  <c r="AB137" i="45"/>
  <c r="AA139" i="47"/>
  <c r="AA138" i="45"/>
  <c r="AA137" i="46"/>
  <c r="AC137" i="45"/>
  <c r="AC136" i="46"/>
  <c r="AC138" i="47"/>
  <c r="AB169" i="34"/>
  <c r="AB190"/>
  <c r="AB139" i="47"/>
  <c r="AB137" i="46"/>
  <c r="AB138" i="45"/>
  <c r="AC169" i="34"/>
  <c r="AC190"/>
  <c r="AC162"/>
  <c r="D162" s="1"/>
  <c r="H7" i="24" s="1"/>
  <c r="AC164" i="34"/>
  <c r="D164" s="1"/>
  <c r="H9" i="24" s="1"/>
  <c r="AC163" i="34"/>
  <c r="D163" s="1"/>
  <c r="H8" i="24" s="1"/>
  <c r="AB153" i="34"/>
  <c r="AC153"/>
  <c r="AB124"/>
  <c r="H217" i="29"/>
  <c r="AD42"/>
  <c r="AC124" i="34"/>
  <c r="E41" i="31"/>
  <c r="H35" i="29" s="1"/>
  <c r="D41" i="31"/>
  <c r="C41"/>
  <c r="F18" i="34" s="1"/>
  <c r="D257" i="29"/>
  <c r="D259"/>
  <c r="Z37" i="9" l="1"/>
  <c r="Y38"/>
  <c r="AA40" i="34" s="1"/>
  <c r="F35" i="29"/>
  <c r="B119" i="24" s="1"/>
  <c r="D169" i="34"/>
  <c r="H14" i="24" s="1"/>
  <c r="D183" i="34"/>
  <c r="AC187"/>
  <c r="AC174"/>
  <c r="AC195"/>
  <c r="D190"/>
  <c r="H35" i="24" s="1"/>
  <c r="AB174" i="34"/>
  <c r="AB195"/>
  <c r="AD217" i="29"/>
  <c r="H323"/>
  <c r="D323" s="1"/>
  <c r="G35"/>
  <c r="G18" i="34"/>
  <c r="H259" i="29"/>
  <c r="F259"/>
  <c r="G259"/>
  <c r="H257"/>
  <c r="F257"/>
  <c r="G257"/>
  <c r="D253"/>
  <c r="D251"/>
  <c r="D265" s="1"/>
  <c r="F290"/>
  <c r="F288"/>
  <c r="D169"/>
  <c r="AA37" i="9" l="1"/>
  <c r="AA38" s="1"/>
  <c r="AC40" i="34" s="1"/>
  <c r="Z38" i="9"/>
  <c r="AB40" i="34" s="1"/>
  <c r="H28" i="24"/>
  <c r="D182" i="34"/>
  <c r="H27" i="24" s="1"/>
  <c r="F363" i="29"/>
  <c r="F364"/>
  <c r="F365"/>
  <c r="F342"/>
  <c r="F343"/>
  <c r="F344"/>
  <c r="G288"/>
  <c r="F310"/>
  <c r="G290"/>
  <c r="F314"/>
  <c r="D277"/>
  <c r="F265"/>
  <c r="H265"/>
  <c r="G265"/>
  <c r="D267"/>
  <c r="G253"/>
  <c r="F253"/>
  <c r="H253"/>
  <c r="H251"/>
  <c r="F251"/>
  <c r="G251"/>
  <c r="D152"/>
  <c r="D162" s="1"/>
  <c r="D170"/>
  <c r="C73" i="9"/>
  <c r="H155" i="29"/>
  <c r="G155"/>
  <c r="D137"/>
  <c r="D138"/>
  <c r="C60" i="9"/>
  <c r="C59"/>
  <c r="D72" i="44" s="1"/>
  <c r="C111" i="31"/>
  <c r="F195" i="29"/>
  <c r="H112"/>
  <c r="G112"/>
  <c r="F112"/>
  <c r="F190"/>
  <c r="H111"/>
  <c r="G111"/>
  <c r="F111"/>
  <c r="H110"/>
  <c r="G110"/>
  <c r="F110"/>
  <c r="H109"/>
  <c r="G109"/>
  <c r="F109"/>
  <c r="H108"/>
  <c r="G108"/>
  <c r="F108"/>
  <c r="D122"/>
  <c r="D75"/>
  <c r="C67" i="9"/>
  <c r="C69" s="1"/>
  <c r="C23"/>
  <c r="H88" i="29"/>
  <c r="G88"/>
  <c r="F185"/>
  <c r="F88"/>
  <c r="D95"/>
  <c r="D94"/>
  <c r="D93"/>
  <c r="H61"/>
  <c r="G61"/>
  <c r="F201"/>
  <c r="F155"/>
  <c r="E14" i="31"/>
  <c r="D14"/>
  <c r="E13"/>
  <c r="D13"/>
  <c r="C14"/>
  <c r="C13"/>
  <c r="F22"/>
  <c r="F19"/>
  <c r="I22" i="29" s="1"/>
  <c r="F18" i="31"/>
  <c r="F17"/>
  <c r="I20" i="29" s="1"/>
  <c r="F23" i="31"/>
  <c r="I26" i="29" s="1"/>
  <c r="G22" i="31"/>
  <c r="F20"/>
  <c r="I23" i="29" s="1"/>
  <c r="E8" i="31"/>
  <c r="D8"/>
  <c r="C8"/>
  <c r="C156" i="9"/>
  <c r="C143"/>
  <c r="D115" i="35" s="1"/>
  <c r="C142" i="9"/>
  <c r="D111" i="35" s="1"/>
  <c r="C151" i="9"/>
  <c r="C135"/>
  <c r="C134"/>
  <c r="C53"/>
  <c r="C52"/>
  <c r="C30"/>
  <c r="D116" i="46" s="1"/>
  <c r="C65" i="9"/>
  <c r="C21"/>
  <c r="C97"/>
  <c r="D57" i="29"/>
  <c r="F179"/>
  <c r="F61"/>
  <c r="D68"/>
  <c r="D121" s="1"/>
  <c r="D114" i="35" l="1"/>
  <c r="D113" i="46"/>
  <c r="F118"/>
  <c r="G118"/>
  <c r="G201" s="1"/>
  <c r="D45" i="44"/>
  <c r="D51" i="47"/>
  <c r="D51" i="45"/>
  <c r="D51" i="46"/>
  <c r="D60" i="35"/>
  <c r="D112" s="1"/>
  <c r="Y118" s="1"/>
  <c r="D113"/>
  <c r="AD40" i="34"/>
  <c r="G363" i="29"/>
  <c r="G364"/>
  <c r="G365"/>
  <c r="G342"/>
  <c r="G343"/>
  <c r="G344"/>
  <c r="U118" i="35"/>
  <c r="I111" i="29"/>
  <c r="H288"/>
  <c r="G310"/>
  <c r="I108"/>
  <c r="I195"/>
  <c r="I110"/>
  <c r="H290"/>
  <c r="G314"/>
  <c r="D279"/>
  <c r="H267"/>
  <c r="H324" s="1"/>
  <c r="F267"/>
  <c r="F324" s="1"/>
  <c r="G267"/>
  <c r="G324" s="1"/>
  <c r="G366" s="1"/>
  <c r="D74"/>
  <c r="D116"/>
  <c r="C24" i="9"/>
  <c r="D65" i="29"/>
  <c r="D117" s="1"/>
  <c r="D159"/>
  <c r="D168"/>
  <c r="D171" s="1"/>
  <c r="D161"/>
  <c r="D119"/>
  <c r="D160"/>
  <c r="D120"/>
  <c r="F21" i="31"/>
  <c r="G23"/>
  <c r="J26" i="29" s="1"/>
  <c r="J195" s="1"/>
  <c r="D118"/>
  <c r="J25"/>
  <c r="J112" s="1"/>
  <c r="I25"/>
  <c r="I21"/>
  <c r="F41" i="31"/>
  <c r="I35" i="29" s="1"/>
  <c r="C68" i="9"/>
  <c r="D102" i="29"/>
  <c r="C31" i="9"/>
  <c r="C144"/>
  <c r="G17" i="31"/>
  <c r="J20" i="29" s="1"/>
  <c r="G18" i="31"/>
  <c r="G19"/>
  <c r="J22" i="29" s="1"/>
  <c r="J110" s="1"/>
  <c r="G20" i="31"/>
  <c r="J23" i="29" s="1"/>
  <c r="J111" s="1"/>
  <c r="G21" i="31"/>
  <c r="J24" i="29" s="1"/>
  <c r="J190" s="1"/>
  <c r="C149" i="9"/>
  <c r="C150" s="1"/>
  <c r="C22"/>
  <c r="D84" i="29"/>
  <c r="E7" i="31"/>
  <c r="D7"/>
  <c r="C7"/>
  <c r="B84"/>
  <c r="G118" i="35" l="1"/>
  <c r="N118"/>
  <c r="F114" i="46"/>
  <c r="G114"/>
  <c r="G120" s="1"/>
  <c r="G208" s="1"/>
  <c r="H114"/>
  <c r="H120" s="1"/>
  <c r="H208" s="1"/>
  <c r="I114"/>
  <c r="I120" s="1"/>
  <c r="I208" s="1"/>
  <c r="N114"/>
  <c r="N120" s="1"/>
  <c r="N208" s="1"/>
  <c r="W114"/>
  <c r="W120" s="1"/>
  <c r="W208" s="1"/>
  <c r="Q114"/>
  <c r="Q120" s="1"/>
  <c r="Q208" s="1"/>
  <c r="L114"/>
  <c r="L120" s="1"/>
  <c r="L208" s="1"/>
  <c r="X114"/>
  <c r="X120" s="1"/>
  <c r="X208" s="1"/>
  <c r="Z114"/>
  <c r="Z120" s="1"/>
  <c r="Z208" s="1"/>
  <c r="M114"/>
  <c r="M120" s="1"/>
  <c r="M208" s="1"/>
  <c r="S114"/>
  <c r="S120" s="1"/>
  <c r="S208" s="1"/>
  <c r="Y114"/>
  <c r="Y120" s="1"/>
  <c r="Y208" s="1"/>
  <c r="AA114"/>
  <c r="AA120" s="1"/>
  <c r="AA208" s="1"/>
  <c r="U114"/>
  <c r="U120" s="1"/>
  <c r="U208" s="1"/>
  <c r="P114"/>
  <c r="P120" s="1"/>
  <c r="P208" s="1"/>
  <c r="V114"/>
  <c r="V120" s="1"/>
  <c r="V208" s="1"/>
  <c r="T114"/>
  <c r="T120" s="1"/>
  <c r="T208" s="1"/>
  <c r="J114"/>
  <c r="J120" s="1"/>
  <c r="J208" s="1"/>
  <c r="R114"/>
  <c r="R120" s="1"/>
  <c r="R208" s="1"/>
  <c r="K114"/>
  <c r="K120" s="1"/>
  <c r="K208" s="1"/>
  <c r="O114"/>
  <c r="O120" s="1"/>
  <c r="O208" s="1"/>
  <c r="AC114"/>
  <c r="AC120" s="1"/>
  <c r="AC208" s="1"/>
  <c r="AB114"/>
  <c r="AB120" s="1"/>
  <c r="AB208" s="1"/>
  <c r="F201"/>
  <c r="AD118"/>
  <c r="G243"/>
  <c r="G222"/>
  <c r="G224" s="1"/>
  <c r="G203"/>
  <c r="C88" i="24" s="1"/>
  <c r="AB118" i="35"/>
  <c r="W118"/>
  <c r="K118"/>
  <c r="P118"/>
  <c r="Q118"/>
  <c r="M118"/>
  <c r="F118"/>
  <c r="T118"/>
  <c r="V118"/>
  <c r="I118"/>
  <c r="J118"/>
  <c r="D121"/>
  <c r="D50" i="45"/>
  <c r="D50" i="46"/>
  <c r="D44" i="44"/>
  <c r="D50" i="47"/>
  <c r="D123" i="35"/>
  <c r="D59"/>
  <c r="H118"/>
  <c r="AA118"/>
  <c r="Z118"/>
  <c r="O118"/>
  <c r="D120"/>
  <c r="S118"/>
  <c r="R118"/>
  <c r="X118"/>
  <c r="AC118"/>
  <c r="L118"/>
  <c r="J108" i="29"/>
  <c r="F366"/>
  <c r="F367" s="1"/>
  <c r="H366"/>
  <c r="G367"/>
  <c r="H363"/>
  <c r="H364"/>
  <c r="H365"/>
  <c r="H343"/>
  <c r="H342"/>
  <c r="H344"/>
  <c r="G325"/>
  <c r="C84" i="24" s="1"/>
  <c r="G345" i="29"/>
  <c r="G346" s="1"/>
  <c r="H325"/>
  <c r="D84" i="24" s="1"/>
  <c r="H345" i="29"/>
  <c r="F325"/>
  <c r="B84" i="24" s="1"/>
  <c r="F345" i="29"/>
  <c r="I24"/>
  <c r="I190" s="1"/>
  <c r="W119" i="35"/>
  <c r="W160"/>
  <c r="W161" s="1"/>
  <c r="U160"/>
  <c r="U161" s="1"/>
  <c r="U119"/>
  <c r="T160"/>
  <c r="T161" s="1"/>
  <c r="T119"/>
  <c r="G160"/>
  <c r="G161" s="1"/>
  <c r="G119"/>
  <c r="M160"/>
  <c r="M161" s="1"/>
  <c r="M119"/>
  <c r="AB119"/>
  <c r="AB160"/>
  <c r="AB161" s="1"/>
  <c r="I160"/>
  <c r="I161" s="1"/>
  <c r="I119"/>
  <c r="V160"/>
  <c r="V161" s="1"/>
  <c r="V119"/>
  <c r="K160"/>
  <c r="K161" s="1"/>
  <c r="K119"/>
  <c r="J160"/>
  <c r="J161" s="1"/>
  <c r="J119"/>
  <c r="P119"/>
  <c r="P160"/>
  <c r="P161" s="1"/>
  <c r="Q160"/>
  <c r="Q161" s="1"/>
  <c r="Q119"/>
  <c r="H119"/>
  <c r="H160"/>
  <c r="H161" s="1"/>
  <c r="AA119"/>
  <c r="AA160"/>
  <c r="AA161" s="1"/>
  <c r="Z160"/>
  <c r="Z161" s="1"/>
  <c r="Z119"/>
  <c r="O160"/>
  <c r="O161" s="1"/>
  <c r="O119"/>
  <c r="N119"/>
  <c r="N160"/>
  <c r="N161" s="1"/>
  <c r="AD118"/>
  <c r="F160"/>
  <c r="F119"/>
  <c r="S119"/>
  <c r="S160"/>
  <c r="S161" s="1"/>
  <c r="R119"/>
  <c r="R160"/>
  <c r="R161" s="1"/>
  <c r="X160"/>
  <c r="X161" s="1"/>
  <c r="X119"/>
  <c r="AC160"/>
  <c r="AC161" s="1"/>
  <c r="AC119"/>
  <c r="L160"/>
  <c r="L161" s="1"/>
  <c r="L119"/>
  <c r="Y119"/>
  <c r="Y160"/>
  <c r="Y161" s="1"/>
  <c r="I112" i="29"/>
  <c r="I109"/>
  <c r="I290"/>
  <c r="H314"/>
  <c r="I288"/>
  <c r="H310"/>
  <c r="I101" i="31"/>
  <c r="D101" i="29"/>
  <c r="D135" s="1"/>
  <c r="D77"/>
  <c r="H77" s="1"/>
  <c r="H78" s="1"/>
  <c r="Y123"/>
  <c r="Y191" s="1"/>
  <c r="D125"/>
  <c r="G125" s="1"/>
  <c r="AA123"/>
  <c r="AA191" s="1"/>
  <c r="J123"/>
  <c r="J191" s="1"/>
  <c r="J192" s="1"/>
  <c r="F123"/>
  <c r="G123"/>
  <c r="T123"/>
  <c r="T191" s="1"/>
  <c r="D126"/>
  <c r="I126" s="1"/>
  <c r="S123"/>
  <c r="S191" s="1"/>
  <c r="I123"/>
  <c r="P123"/>
  <c r="P191" s="1"/>
  <c r="K123"/>
  <c r="O123"/>
  <c r="O191" s="1"/>
  <c r="Z123"/>
  <c r="Z191" s="1"/>
  <c r="L123"/>
  <c r="L191" s="1"/>
  <c r="W123"/>
  <c r="W191" s="1"/>
  <c r="M123"/>
  <c r="M191" s="1"/>
  <c r="V123"/>
  <c r="V191" s="1"/>
  <c r="H123"/>
  <c r="U123"/>
  <c r="U191" s="1"/>
  <c r="AB123"/>
  <c r="AB191" s="1"/>
  <c r="N123"/>
  <c r="N191" s="1"/>
  <c r="AC123"/>
  <c r="AC191" s="1"/>
  <c r="R123"/>
  <c r="R191" s="1"/>
  <c r="Q123"/>
  <c r="Q191" s="1"/>
  <c r="X123"/>
  <c r="X191" s="1"/>
  <c r="E40" i="31"/>
  <c r="H34" i="29" s="1"/>
  <c r="E42" i="31"/>
  <c r="E43"/>
  <c r="D40"/>
  <c r="D42"/>
  <c r="D43"/>
  <c r="C42"/>
  <c r="C43"/>
  <c r="C40"/>
  <c r="D158" i="29"/>
  <c r="S163" s="1"/>
  <c r="S202" s="1"/>
  <c r="D128"/>
  <c r="J21"/>
  <c r="J109" s="1"/>
  <c r="G41" i="31"/>
  <c r="J35" i="29" s="1"/>
  <c r="D182"/>
  <c r="H171"/>
  <c r="H172" s="1"/>
  <c r="D204"/>
  <c r="G171"/>
  <c r="G172" s="1"/>
  <c r="F171"/>
  <c r="D136"/>
  <c r="C152" i="9"/>
  <c r="D64" i="29"/>
  <c r="G77"/>
  <c r="G78" s="1"/>
  <c r="F90"/>
  <c r="AD90" s="1"/>
  <c r="J127" i="32"/>
  <c r="J125"/>
  <c r="H127"/>
  <c r="H125"/>
  <c r="I127"/>
  <c r="I125"/>
  <c r="G127"/>
  <c r="G125"/>
  <c r="X34" i="33"/>
  <c r="U34"/>
  <c r="R34"/>
  <c r="O34"/>
  <c r="L34"/>
  <c r="I34"/>
  <c r="F34"/>
  <c r="C34"/>
  <c r="AB33"/>
  <c r="AB32"/>
  <c r="AB31"/>
  <c r="AB30"/>
  <c r="AB29"/>
  <c r="AB28"/>
  <c r="R68" i="31"/>
  <c r="A74" s="1"/>
  <c r="Q68"/>
  <c r="A79" s="1"/>
  <c r="P68"/>
  <c r="O68"/>
  <c r="N68"/>
  <c r="M68"/>
  <c r="L68"/>
  <c r="K68"/>
  <c r="J68"/>
  <c r="I68"/>
  <c r="H68"/>
  <c r="G68"/>
  <c r="A75" s="1"/>
  <c r="F68"/>
  <c r="A77" s="1"/>
  <c r="D242" i="29"/>
  <c r="F243" i="46" l="1"/>
  <c r="F222"/>
  <c r="D201"/>
  <c r="D198" s="1"/>
  <c r="F203"/>
  <c r="B88" i="24" s="1"/>
  <c r="K229" i="46"/>
  <c r="K250"/>
  <c r="V229"/>
  <c r="V250"/>
  <c r="Y229"/>
  <c r="Y250"/>
  <c r="X229"/>
  <c r="X250"/>
  <c r="N229"/>
  <c r="N250"/>
  <c r="F120"/>
  <c r="AD114"/>
  <c r="O229"/>
  <c r="O250"/>
  <c r="T229"/>
  <c r="T250"/>
  <c r="AA229"/>
  <c r="AA250"/>
  <c r="Z229"/>
  <c r="Z250"/>
  <c r="W229"/>
  <c r="W250"/>
  <c r="G229"/>
  <c r="G250"/>
  <c r="AC229"/>
  <c r="AC250"/>
  <c r="J229"/>
  <c r="J250"/>
  <c r="U229"/>
  <c r="U250"/>
  <c r="M229"/>
  <c r="M250"/>
  <c r="Q229"/>
  <c r="Q250"/>
  <c r="H250"/>
  <c r="H229"/>
  <c r="AB229"/>
  <c r="AB250"/>
  <c r="R229"/>
  <c r="R250"/>
  <c r="P229"/>
  <c r="P250"/>
  <c r="S229"/>
  <c r="S250"/>
  <c r="L229"/>
  <c r="L250"/>
  <c r="I250"/>
  <c r="I229"/>
  <c r="Z120" i="35"/>
  <c r="AA120"/>
  <c r="N120"/>
  <c r="M120"/>
  <c r="Q120"/>
  <c r="R120"/>
  <c r="U120"/>
  <c r="AC120"/>
  <c r="I120"/>
  <c r="T120"/>
  <c r="H120"/>
  <c r="O120"/>
  <c r="L120"/>
  <c r="S120"/>
  <c r="Y120"/>
  <c r="G120"/>
  <c r="X120"/>
  <c r="F120"/>
  <c r="AB120"/>
  <c r="J120"/>
  <c r="P120"/>
  <c r="W120"/>
  <c r="K120"/>
  <c r="V120"/>
  <c r="D71" i="44"/>
  <c r="I49"/>
  <c r="I92" s="1"/>
  <c r="G49"/>
  <c r="G92" s="1"/>
  <c r="F49"/>
  <c r="H49"/>
  <c r="H92" s="1"/>
  <c r="J49"/>
  <c r="J92" s="1"/>
  <c r="K49"/>
  <c r="K92" s="1"/>
  <c r="L49"/>
  <c r="L92" s="1"/>
  <c r="M49"/>
  <c r="M92" s="1"/>
  <c r="N49"/>
  <c r="N92" s="1"/>
  <c r="O49"/>
  <c r="O92" s="1"/>
  <c r="P49"/>
  <c r="P92" s="1"/>
  <c r="Q49"/>
  <c r="Q92" s="1"/>
  <c r="R49"/>
  <c r="R92" s="1"/>
  <c r="S49"/>
  <c r="S92" s="1"/>
  <c r="T49"/>
  <c r="T92" s="1"/>
  <c r="U49"/>
  <c r="U92" s="1"/>
  <c r="V49"/>
  <c r="V92" s="1"/>
  <c r="W49"/>
  <c r="W92" s="1"/>
  <c r="X49"/>
  <c r="X92" s="1"/>
  <c r="Y49"/>
  <c r="Y92" s="1"/>
  <c r="Z49"/>
  <c r="Z92" s="1"/>
  <c r="AA49"/>
  <c r="AA92" s="1"/>
  <c r="AC49"/>
  <c r="AC92" s="1"/>
  <c r="AB49"/>
  <c r="AB92" s="1"/>
  <c r="D77" i="47"/>
  <c r="I55"/>
  <c r="F55"/>
  <c r="G55"/>
  <c r="H55"/>
  <c r="J55"/>
  <c r="K55"/>
  <c r="L55"/>
  <c r="M55"/>
  <c r="N55"/>
  <c r="O55"/>
  <c r="P55"/>
  <c r="Q55"/>
  <c r="R55"/>
  <c r="S55"/>
  <c r="T55"/>
  <c r="U55"/>
  <c r="V55"/>
  <c r="W55"/>
  <c r="X55"/>
  <c r="Y55"/>
  <c r="Z55"/>
  <c r="AA55"/>
  <c r="AB55"/>
  <c r="AC55"/>
  <c r="F121" i="35"/>
  <c r="H121"/>
  <c r="J121"/>
  <c r="L121"/>
  <c r="G121"/>
  <c r="K121"/>
  <c r="I121"/>
  <c r="M121"/>
  <c r="N121"/>
  <c r="O121"/>
  <c r="P121"/>
  <c r="Q121"/>
  <c r="R121"/>
  <c r="S121"/>
  <c r="T121"/>
  <c r="U121"/>
  <c r="V121"/>
  <c r="W121"/>
  <c r="X121"/>
  <c r="Y121"/>
  <c r="Z121"/>
  <c r="AA121"/>
  <c r="AC121"/>
  <c r="AB121"/>
  <c r="L125"/>
  <c r="L165" s="1"/>
  <c r="L166" s="1"/>
  <c r="X125"/>
  <c r="X165" s="1"/>
  <c r="X166" s="1"/>
  <c r="K125"/>
  <c r="K165" s="1"/>
  <c r="K166" s="1"/>
  <c r="J125"/>
  <c r="J165" s="1"/>
  <c r="J166" s="1"/>
  <c r="S125"/>
  <c r="S165" s="1"/>
  <c r="S166" s="1"/>
  <c r="AC125"/>
  <c r="AC165" s="1"/>
  <c r="AC166" s="1"/>
  <c r="H125"/>
  <c r="H165" s="1"/>
  <c r="H166" s="1"/>
  <c r="T125"/>
  <c r="T165" s="1"/>
  <c r="T166" s="1"/>
  <c r="W125"/>
  <c r="W165" s="1"/>
  <c r="W166" s="1"/>
  <c r="F125"/>
  <c r="N125"/>
  <c r="N165" s="1"/>
  <c r="N166" s="1"/>
  <c r="P125"/>
  <c r="P165" s="1"/>
  <c r="P166" s="1"/>
  <c r="M125"/>
  <c r="M165" s="1"/>
  <c r="M166" s="1"/>
  <c r="Y125"/>
  <c r="Y165" s="1"/>
  <c r="Y166" s="1"/>
  <c r="U125"/>
  <c r="U165" s="1"/>
  <c r="U166" s="1"/>
  <c r="V125"/>
  <c r="V165" s="1"/>
  <c r="V166" s="1"/>
  <c r="O125"/>
  <c r="O165" s="1"/>
  <c r="O166" s="1"/>
  <c r="AA125"/>
  <c r="AA165" s="1"/>
  <c r="AA166" s="1"/>
  <c r="Q125"/>
  <c r="Q165" s="1"/>
  <c r="Q166" s="1"/>
  <c r="AB125"/>
  <c r="AB165" s="1"/>
  <c r="AB166" s="1"/>
  <c r="I125"/>
  <c r="I165" s="1"/>
  <c r="I166" s="1"/>
  <c r="Z125"/>
  <c r="Z165" s="1"/>
  <c r="Z166" s="1"/>
  <c r="G125"/>
  <c r="G165" s="1"/>
  <c r="G166" s="1"/>
  <c r="R125"/>
  <c r="R165" s="1"/>
  <c r="R166" s="1"/>
  <c r="D77" i="45"/>
  <c r="F55"/>
  <c r="I55"/>
  <c r="G55"/>
  <c r="H55"/>
  <c r="J55"/>
  <c r="K55"/>
  <c r="L55"/>
  <c r="M55"/>
  <c r="N55"/>
  <c r="O55"/>
  <c r="P55"/>
  <c r="Q55"/>
  <c r="R55"/>
  <c r="S55"/>
  <c r="T55"/>
  <c r="U55"/>
  <c r="V55"/>
  <c r="W55"/>
  <c r="X55"/>
  <c r="Y55"/>
  <c r="Z55"/>
  <c r="AA55"/>
  <c r="AC55"/>
  <c r="AB55"/>
  <c r="D86" i="35"/>
  <c r="F64"/>
  <c r="G64"/>
  <c r="I64"/>
  <c r="J64"/>
  <c r="H64"/>
  <c r="K64"/>
  <c r="L64"/>
  <c r="M64"/>
  <c r="N64"/>
  <c r="O64"/>
  <c r="P64"/>
  <c r="Q64"/>
  <c r="R64"/>
  <c r="S64"/>
  <c r="T64"/>
  <c r="U64"/>
  <c r="V64"/>
  <c r="W64"/>
  <c r="X64"/>
  <c r="Y64"/>
  <c r="Z64"/>
  <c r="AA64"/>
  <c r="AC64"/>
  <c r="AB64"/>
  <c r="D76" i="46"/>
  <c r="I55"/>
  <c r="G55"/>
  <c r="F55"/>
  <c r="J55"/>
  <c r="H55"/>
  <c r="K55"/>
  <c r="L55"/>
  <c r="M55"/>
  <c r="N55"/>
  <c r="O55"/>
  <c r="P55"/>
  <c r="Q55"/>
  <c r="R55"/>
  <c r="S55"/>
  <c r="T55"/>
  <c r="U55"/>
  <c r="V55"/>
  <c r="W55"/>
  <c r="X55"/>
  <c r="Y55"/>
  <c r="Z55"/>
  <c r="AA55"/>
  <c r="AC55"/>
  <c r="AB55"/>
  <c r="E114" i="24"/>
  <c r="F114"/>
  <c r="H367" i="29"/>
  <c r="I363"/>
  <c r="I364"/>
  <c r="I365"/>
  <c r="H346"/>
  <c r="I342"/>
  <c r="I343"/>
  <c r="I344"/>
  <c r="F346"/>
  <c r="F77"/>
  <c r="F78" s="1"/>
  <c r="I181" i="35"/>
  <c r="I265" s="1"/>
  <c r="I307" s="1"/>
  <c r="I309" s="1"/>
  <c r="G34" i="29"/>
  <c r="G17" i="34"/>
  <c r="F34" i="29"/>
  <c r="B118" i="24" s="1"/>
  <c r="F17" i="34"/>
  <c r="G19"/>
  <c r="F20"/>
  <c r="G20"/>
  <c r="G72" s="1"/>
  <c r="AD160" i="35"/>
  <c r="F161"/>
  <c r="F19" i="34"/>
  <c r="AD19" s="1"/>
  <c r="H243" i="35"/>
  <c r="H244" s="1"/>
  <c r="H174"/>
  <c r="H239"/>
  <c r="H240" s="1"/>
  <c r="H241"/>
  <c r="H242" s="1"/>
  <c r="AD119"/>
  <c r="F172" i="29"/>
  <c r="J288"/>
  <c r="I310"/>
  <c r="AD123"/>
  <c r="J290"/>
  <c r="I314"/>
  <c r="H23" i="31"/>
  <c r="K26" i="29" s="1"/>
  <c r="H21" i="31"/>
  <c r="K24" i="29" s="1"/>
  <c r="H20" i="31"/>
  <c r="K23" i="29" s="1"/>
  <c r="H19" i="31"/>
  <c r="K22" i="29" s="1"/>
  <c r="H22" i="31"/>
  <c r="K25" i="29" s="1"/>
  <c r="H18" i="31"/>
  <c r="H17"/>
  <c r="K20" i="29" s="1"/>
  <c r="J101" i="31"/>
  <c r="I102"/>
  <c r="H125" i="29"/>
  <c r="F125"/>
  <c r="D104"/>
  <c r="D188" s="1"/>
  <c r="H188" s="1"/>
  <c r="J124"/>
  <c r="I125"/>
  <c r="J125"/>
  <c r="G204"/>
  <c r="H204"/>
  <c r="I124"/>
  <c r="I191"/>
  <c r="I192" s="1"/>
  <c r="G124"/>
  <c r="G191"/>
  <c r="G192" s="1"/>
  <c r="H124"/>
  <c r="H191"/>
  <c r="H192" s="1"/>
  <c r="G182"/>
  <c r="H182"/>
  <c r="K191"/>
  <c r="F124"/>
  <c r="F191"/>
  <c r="J126"/>
  <c r="F126"/>
  <c r="H126"/>
  <c r="G126"/>
  <c r="U163"/>
  <c r="U202" s="1"/>
  <c r="I163"/>
  <c r="I202" s="1"/>
  <c r="V163"/>
  <c r="V202" s="1"/>
  <c r="T163"/>
  <c r="T202" s="1"/>
  <c r="K163"/>
  <c r="K202" s="1"/>
  <c r="AA163"/>
  <c r="AA202" s="1"/>
  <c r="J163"/>
  <c r="J202" s="1"/>
  <c r="Y163"/>
  <c r="Y202" s="1"/>
  <c r="M163"/>
  <c r="M202" s="1"/>
  <c r="P163"/>
  <c r="P202" s="1"/>
  <c r="G163"/>
  <c r="W163"/>
  <c r="W202" s="1"/>
  <c r="H72" i="34"/>
  <c r="H74" s="1"/>
  <c r="H150" s="1"/>
  <c r="Z163" i="29"/>
  <c r="Z202" s="1"/>
  <c r="N163"/>
  <c r="N202" s="1"/>
  <c r="AC163"/>
  <c r="AC202" s="1"/>
  <c r="L163"/>
  <c r="L202" s="1"/>
  <c r="AB163"/>
  <c r="AB202" s="1"/>
  <c r="Q163"/>
  <c r="Q202" s="1"/>
  <c r="F163"/>
  <c r="R163"/>
  <c r="R202" s="1"/>
  <c r="H163"/>
  <c r="X163"/>
  <c r="X202" s="1"/>
  <c r="O163"/>
  <c r="O202" s="1"/>
  <c r="AB34" i="33"/>
  <c r="AC30" s="1"/>
  <c r="Z69" i="29"/>
  <c r="Z180" s="1"/>
  <c r="V69"/>
  <c r="V180" s="1"/>
  <c r="R69"/>
  <c r="R180" s="1"/>
  <c r="N69"/>
  <c r="N180" s="1"/>
  <c r="J69"/>
  <c r="J180" s="1"/>
  <c r="AA69"/>
  <c r="AA180" s="1"/>
  <c r="W69"/>
  <c r="W180" s="1"/>
  <c r="S69"/>
  <c r="S180" s="1"/>
  <c r="O69"/>
  <c r="O180" s="1"/>
  <c r="K69"/>
  <c r="K180" s="1"/>
  <c r="AB69"/>
  <c r="AB180" s="1"/>
  <c r="X69"/>
  <c r="X180" s="1"/>
  <c r="T69"/>
  <c r="T180" s="1"/>
  <c r="P69"/>
  <c r="P180" s="1"/>
  <c r="L69"/>
  <c r="L180" s="1"/>
  <c r="H69"/>
  <c r="H180" s="1"/>
  <c r="H181" s="1"/>
  <c r="G69"/>
  <c r="G180" s="1"/>
  <c r="G181" s="1"/>
  <c r="U69"/>
  <c r="U180" s="1"/>
  <c r="Q69"/>
  <c r="Q180" s="1"/>
  <c r="M69"/>
  <c r="M180" s="1"/>
  <c r="AC69"/>
  <c r="AC180" s="1"/>
  <c r="I69"/>
  <c r="I180" s="1"/>
  <c r="Y69"/>
  <c r="Y180" s="1"/>
  <c r="F69"/>
  <c r="F37"/>
  <c r="C44" i="31"/>
  <c r="G36" i="29"/>
  <c r="D36" i="31"/>
  <c r="G37" i="29"/>
  <c r="G232" s="1"/>
  <c r="G238" s="1"/>
  <c r="D44" i="31"/>
  <c r="H36" i="29"/>
  <c r="E36" i="31"/>
  <c r="H37" i="29"/>
  <c r="H232" s="1"/>
  <c r="H238" s="1"/>
  <c r="E44" i="31"/>
  <c r="F36" i="29"/>
  <c r="B120" i="24" s="1"/>
  <c r="C36" i="31"/>
  <c r="F182" i="29"/>
  <c r="F204"/>
  <c r="D91"/>
  <c r="A76" i="31"/>
  <c r="A78"/>
  <c r="W15" i="10"/>
  <c r="V15"/>
  <c r="U15"/>
  <c r="T15"/>
  <c r="S15"/>
  <c r="R15"/>
  <c r="Q15"/>
  <c r="P15"/>
  <c r="O15"/>
  <c r="N15"/>
  <c r="M15"/>
  <c r="L15"/>
  <c r="K15"/>
  <c r="J15"/>
  <c r="I15"/>
  <c r="H15"/>
  <c r="G15"/>
  <c r="F15"/>
  <c r="E15"/>
  <c r="D15"/>
  <c r="W12"/>
  <c r="V12"/>
  <c r="U12"/>
  <c r="T12"/>
  <c r="S12"/>
  <c r="R12"/>
  <c r="Q12"/>
  <c r="P12"/>
  <c r="O12"/>
  <c r="N12"/>
  <c r="M12"/>
  <c r="L12"/>
  <c r="K12"/>
  <c r="J12"/>
  <c r="I12"/>
  <c r="H12"/>
  <c r="G12"/>
  <c r="F12"/>
  <c r="E12"/>
  <c r="AC29" i="33" l="1"/>
  <c r="B121" i="24"/>
  <c r="F232" i="29"/>
  <c r="AD17" i="34"/>
  <c r="F224" i="46"/>
  <c r="D222"/>
  <c r="F208"/>
  <c r="AD120"/>
  <c r="AB97"/>
  <c r="AB98" s="1"/>
  <c r="AB56"/>
  <c r="AB57" s="1"/>
  <c r="Y97"/>
  <c r="Y98" s="1"/>
  <c r="Y56"/>
  <c r="Y57" s="1"/>
  <c r="U97"/>
  <c r="U98" s="1"/>
  <c r="U56"/>
  <c r="U57" s="1"/>
  <c r="Q97"/>
  <c r="Q98" s="1"/>
  <c r="Q56"/>
  <c r="Q57" s="1"/>
  <c r="M97"/>
  <c r="M98" s="1"/>
  <c r="M56"/>
  <c r="M57" s="1"/>
  <c r="J97"/>
  <c r="J98" s="1"/>
  <c r="J56"/>
  <c r="J57" s="1"/>
  <c r="F81"/>
  <c r="I81"/>
  <c r="G81"/>
  <c r="H81"/>
  <c r="J81"/>
  <c r="K81"/>
  <c r="L81"/>
  <c r="M81"/>
  <c r="N81"/>
  <c r="O81"/>
  <c r="P81"/>
  <c r="Q81"/>
  <c r="R81"/>
  <c r="S81"/>
  <c r="T81"/>
  <c r="U81"/>
  <c r="V81"/>
  <c r="W81"/>
  <c r="X81"/>
  <c r="Y81"/>
  <c r="Z81"/>
  <c r="AA81"/>
  <c r="AB81"/>
  <c r="AC81"/>
  <c r="Z149" i="35"/>
  <c r="Z150" s="1"/>
  <c r="Z65"/>
  <c r="Z66" s="1"/>
  <c r="V149"/>
  <c r="V150" s="1"/>
  <c r="V65"/>
  <c r="V66" s="1"/>
  <c r="R149"/>
  <c r="R150" s="1"/>
  <c r="R65"/>
  <c r="R66" s="1"/>
  <c r="N149"/>
  <c r="N150" s="1"/>
  <c r="N65"/>
  <c r="N66" s="1"/>
  <c r="H149"/>
  <c r="H150" s="1"/>
  <c r="H65"/>
  <c r="H66" s="1"/>
  <c r="F149"/>
  <c r="AD64"/>
  <c r="F65"/>
  <c r="Z98" i="45"/>
  <c r="Z99" s="1"/>
  <c r="Z56"/>
  <c r="Z57" s="1"/>
  <c r="V98"/>
  <c r="V99" s="1"/>
  <c r="V56"/>
  <c r="V57" s="1"/>
  <c r="R98"/>
  <c r="R99" s="1"/>
  <c r="R56"/>
  <c r="R57" s="1"/>
  <c r="N98"/>
  <c r="N99" s="1"/>
  <c r="N56"/>
  <c r="N57" s="1"/>
  <c r="J98"/>
  <c r="J99" s="1"/>
  <c r="J56"/>
  <c r="J57" s="1"/>
  <c r="F56"/>
  <c r="AD55"/>
  <c r="F98"/>
  <c r="AB126" i="35"/>
  <c r="AB127" s="1"/>
  <c r="R126"/>
  <c r="R127" s="1"/>
  <c r="Y126"/>
  <c r="Y127" s="1"/>
  <c r="AA126"/>
  <c r="AA127" s="1"/>
  <c r="M126"/>
  <c r="M127" s="1"/>
  <c r="X126"/>
  <c r="X127" s="1"/>
  <c r="N126"/>
  <c r="N127" s="1"/>
  <c r="S126"/>
  <c r="S127" s="1"/>
  <c r="AD125"/>
  <c r="P126"/>
  <c r="P127" s="1"/>
  <c r="F126"/>
  <c r="AC126"/>
  <c r="AC127" s="1"/>
  <c r="O126"/>
  <c r="O127" s="1"/>
  <c r="F165"/>
  <c r="U126"/>
  <c r="U127" s="1"/>
  <c r="G126"/>
  <c r="G127" s="1"/>
  <c r="V126"/>
  <c r="V127" s="1"/>
  <c r="T126"/>
  <c r="T127" s="1"/>
  <c r="J126"/>
  <c r="J127" s="1"/>
  <c r="Q126"/>
  <c r="Q127" s="1"/>
  <c r="L126"/>
  <c r="L127" s="1"/>
  <c r="W126"/>
  <c r="W127" s="1"/>
  <c r="I126"/>
  <c r="I127" s="1"/>
  <c r="K126"/>
  <c r="K127" s="1"/>
  <c r="Z126"/>
  <c r="Z127" s="1"/>
  <c r="H126"/>
  <c r="H127" s="1"/>
  <c r="AC98" i="47"/>
  <c r="AC99" s="1"/>
  <c r="AC56"/>
  <c r="AC57" s="1"/>
  <c r="Y98"/>
  <c r="Y99" s="1"/>
  <c r="Y56"/>
  <c r="Y57" s="1"/>
  <c r="U98"/>
  <c r="U99" s="1"/>
  <c r="U56"/>
  <c r="U57" s="1"/>
  <c r="Q98"/>
  <c r="Q99" s="1"/>
  <c r="Q56"/>
  <c r="Q57" s="1"/>
  <c r="M98"/>
  <c r="M99" s="1"/>
  <c r="M56"/>
  <c r="M57" s="1"/>
  <c r="H98"/>
  <c r="H99" s="1"/>
  <c r="H56"/>
  <c r="H57" s="1"/>
  <c r="I82"/>
  <c r="G82"/>
  <c r="F82"/>
  <c r="H82"/>
  <c r="J82"/>
  <c r="K82"/>
  <c r="L82"/>
  <c r="M82"/>
  <c r="N82"/>
  <c r="O82"/>
  <c r="P82"/>
  <c r="Q82"/>
  <c r="R82"/>
  <c r="S82"/>
  <c r="T82"/>
  <c r="U82"/>
  <c r="V82"/>
  <c r="W82"/>
  <c r="X82"/>
  <c r="Y82"/>
  <c r="Z82"/>
  <c r="AA82"/>
  <c r="AC82"/>
  <c r="AB82"/>
  <c r="G76" i="44"/>
  <c r="G98" s="1"/>
  <c r="I76"/>
  <c r="I98" s="1"/>
  <c r="F76"/>
  <c r="H76"/>
  <c r="H98" s="1"/>
  <c r="J76"/>
  <c r="J98" s="1"/>
  <c r="K76"/>
  <c r="K98" s="1"/>
  <c r="L76"/>
  <c r="L98" s="1"/>
  <c r="M76"/>
  <c r="M98" s="1"/>
  <c r="N76"/>
  <c r="N98" s="1"/>
  <c r="O76"/>
  <c r="O98" s="1"/>
  <c r="P76"/>
  <c r="P98" s="1"/>
  <c r="Q76"/>
  <c r="Q98" s="1"/>
  <c r="R76"/>
  <c r="R98" s="1"/>
  <c r="S76"/>
  <c r="S98" s="1"/>
  <c r="T76"/>
  <c r="T98" s="1"/>
  <c r="U76"/>
  <c r="U98" s="1"/>
  <c r="V76"/>
  <c r="V98" s="1"/>
  <c r="W76"/>
  <c r="W98" s="1"/>
  <c r="X76"/>
  <c r="X98" s="1"/>
  <c r="Y76"/>
  <c r="Y98" s="1"/>
  <c r="Z76"/>
  <c r="Z98" s="1"/>
  <c r="AA76"/>
  <c r="AA98" s="1"/>
  <c r="AB76"/>
  <c r="AB98" s="1"/>
  <c r="AC76"/>
  <c r="AC98" s="1"/>
  <c r="Z97" i="46"/>
  <c r="Z98" s="1"/>
  <c r="Z56"/>
  <c r="Z57" s="1"/>
  <c r="V97"/>
  <c r="V98" s="1"/>
  <c r="V56"/>
  <c r="V57" s="1"/>
  <c r="R97"/>
  <c r="R98" s="1"/>
  <c r="R56"/>
  <c r="R57" s="1"/>
  <c r="N97"/>
  <c r="N98" s="1"/>
  <c r="N56"/>
  <c r="N57" s="1"/>
  <c r="H97"/>
  <c r="H98" s="1"/>
  <c r="H56"/>
  <c r="H57" s="1"/>
  <c r="I97"/>
  <c r="I98" s="1"/>
  <c r="I56"/>
  <c r="I57" s="1"/>
  <c r="AA149" i="35"/>
  <c r="AA150" s="1"/>
  <c r="AA65"/>
  <c r="AA66" s="1"/>
  <c r="W149"/>
  <c r="W150" s="1"/>
  <c r="W65"/>
  <c r="W66" s="1"/>
  <c r="S149"/>
  <c r="S150" s="1"/>
  <c r="S65"/>
  <c r="S66" s="1"/>
  <c r="O149"/>
  <c r="O150" s="1"/>
  <c r="O65"/>
  <c r="O66" s="1"/>
  <c r="K149"/>
  <c r="K150" s="1"/>
  <c r="K65"/>
  <c r="K66" s="1"/>
  <c r="G65"/>
  <c r="G66" s="1"/>
  <c r="G149"/>
  <c r="G150" s="1"/>
  <c r="AA98" i="45"/>
  <c r="AA99" s="1"/>
  <c r="AA56"/>
  <c r="AA57" s="1"/>
  <c r="W98"/>
  <c r="W99" s="1"/>
  <c r="W56"/>
  <c r="W57" s="1"/>
  <c r="S98"/>
  <c r="S99" s="1"/>
  <c r="S56"/>
  <c r="S57" s="1"/>
  <c r="O98"/>
  <c r="O99" s="1"/>
  <c r="O56"/>
  <c r="O57" s="1"/>
  <c r="K98"/>
  <c r="K99" s="1"/>
  <c r="K56"/>
  <c r="K57" s="1"/>
  <c r="I98"/>
  <c r="I99" s="1"/>
  <c r="I56"/>
  <c r="I57" s="1"/>
  <c r="Z98" i="47"/>
  <c r="Z99" s="1"/>
  <c r="Z56"/>
  <c r="Z57" s="1"/>
  <c r="V98"/>
  <c r="V99" s="1"/>
  <c r="V56"/>
  <c r="V57" s="1"/>
  <c r="R98"/>
  <c r="R99" s="1"/>
  <c r="R56"/>
  <c r="R57" s="1"/>
  <c r="N98"/>
  <c r="N99" s="1"/>
  <c r="N56"/>
  <c r="N57" s="1"/>
  <c r="J98"/>
  <c r="J99" s="1"/>
  <c r="J56"/>
  <c r="J57" s="1"/>
  <c r="I98"/>
  <c r="I99" s="1"/>
  <c r="I56"/>
  <c r="I57" s="1"/>
  <c r="AD121" i="35"/>
  <c r="AD120"/>
  <c r="AA97" i="46"/>
  <c r="AA98" s="1"/>
  <c r="AA56"/>
  <c r="AA57" s="1"/>
  <c r="W97"/>
  <c r="W98" s="1"/>
  <c r="W56"/>
  <c r="W57" s="1"/>
  <c r="S97"/>
  <c r="S98" s="1"/>
  <c r="S56"/>
  <c r="S57" s="1"/>
  <c r="O97"/>
  <c r="O98" s="1"/>
  <c r="O56"/>
  <c r="O57" s="1"/>
  <c r="K97"/>
  <c r="K98" s="1"/>
  <c r="K56"/>
  <c r="K57" s="1"/>
  <c r="G56"/>
  <c r="G57" s="1"/>
  <c r="G97"/>
  <c r="G98" s="1"/>
  <c r="AC149" i="35"/>
  <c r="AC150" s="1"/>
  <c r="AC65"/>
  <c r="AC66" s="1"/>
  <c r="X149"/>
  <c r="X150" s="1"/>
  <c r="X65"/>
  <c r="X66" s="1"/>
  <c r="T149"/>
  <c r="T150" s="1"/>
  <c r="T65"/>
  <c r="T66" s="1"/>
  <c r="P149"/>
  <c r="P150" s="1"/>
  <c r="P65"/>
  <c r="P66" s="1"/>
  <c r="L149"/>
  <c r="L150" s="1"/>
  <c r="L65"/>
  <c r="L66" s="1"/>
  <c r="I149"/>
  <c r="I150" s="1"/>
  <c r="I65"/>
  <c r="I66" s="1"/>
  <c r="AC98" i="45"/>
  <c r="AC99" s="1"/>
  <c r="AC56"/>
  <c r="AC57" s="1"/>
  <c r="X98"/>
  <c r="X99" s="1"/>
  <c r="X56"/>
  <c r="X57" s="1"/>
  <c r="T98"/>
  <c r="T99" s="1"/>
  <c r="T56"/>
  <c r="T57" s="1"/>
  <c r="P98"/>
  <c r="P99" s="1"/>
  <c r="P56"/>
  <c r="P57" s="1"/>
  <c r="L98"/>
  <c r="L99" s="1"/>
  <c r="L56"/>
  <c r="L57" s="1"/>
  <c r="G56"/>
  <c r="G57" s="1"/>
  <c r="G98"/>
  <c r="G99" s="1"/>
  <c r="AA98" i="47"/>
  <c r="AA99" s="1"/>
  <c r="AA56"/>
  <c r="AA57" s="1"/>
  <c r="W98"/>
  <c r="W99" s="1"/>
  <c r="W56"/>
  <c r="W57" s="1"/>
  <c r="S98"/>
  <c r="S99" s="1"/>
  <c r="S56"/>
  <c r="S57" s="1"/>
  <c r="O98"/>
  <c r="O99" s="1"/>
  <c r="O56"/>
  <c r="O57" s="1"/>
  <c r="K98"/>
  <c r="K99" s="1"/>
  <c r="K56"/>
  <c r="K57" s="1"/>
  <c r="F56"/>
  <c r="F98"/>
  <c r="AD55"/>
  <c r="AC97" i="46"/>
  <c r="AC98" s="1"/>
  <c r="AC56"/>
  <c r="AC57" s="1"/>
  <c r="X97"/>
  <c r="X98" s="1"/>
  <c r="X56"/>
  <c r="X57" s="1"/>
  <c r="T97"/>
  <c r="T98" s="1"/>
  <c r="T56"/>
  <c r="T57" s="1"/>
  <c r="P97"/>
  <c r="P98" s="1"/>
  <c r="P56"/>
  <c r="P57" s="1"/>
  <c r="L97"/>
  <c r="L98" s="1"/>
  <c r="L56"/>
  <c r="L57" s="1"/>
  <c r="AD55"/>
  <c r="F97"/>
  <c r="F56"/>
  <c r="AB149" i="35"/>
  <c r="AB150" s="1"/>
  <c r="AB65"/>
  <c r="AB66" s="1"/>
  <c r="Y149"/>
  <c r="Y150" s="1"/>
  <c r="Y65"/>
  <c r="Y66" s="1"/>
  <c r="U149"/>
  <c r="U150" s="1"/>
  <c r="U65"/>
  <c r="U66" s="1"/>
  <c r="Q149"/>
  <c r="Q150" s="1"/>
  <c r="Q65"/>
  <c r="Q66" s="1"/>
  <c r="M149"/>
  <c r="M150" s="1"/>
  <c r="M65"/>
  <c r="M66" s="1"/>
  <c r="J149"/>
  <c r="J150" s="1"/>
  <c r="J65"/>
  <c r="J66" s="1"/>
  <c r="I91"/>
  <c r="G91"/>
  <c r="F91"/>
  <c r="H91"/>
  <c r="J91"/>
  <c r="K91"/>
  <c r="L91"/>
  <c r="M91"/>
  <c r="N91"/>
  <c r="O91"/>
  <c r="P91"/>
  <c r="Q91"/>
  <c r="R91"/>
  <c r="S91"/>
  <c r="T91"/>
  <c r="U91"/>
  <c r="V91"/>
  <c r="W91"/>
  <c r="X91"/>
  <c r="Y91"/>
  <c r="Z91"/>
  <c r="AA91"/>
  <c r="AC91"/>
  <c r="AB91"/>
  <c r="AB98" i="45"/>
  <c r="AB99" s="1"/>
  <c r="AB56"/>
  <c r="AB57" s="1"/>
  <c r="Y98"/>
  <c r="Y99" s="1"/>
  <c r="Y56"/>
  <c r="Y57" s="1"/>
  <c r="U98"/>
  <c r="U99" s="1"/>
  <c r="U56"/>
  <c r="U57" s="1"/>
  <c r="Q98"/>
  <c r="Q99" s="1"/>
  <c r="Q56"/>
  <c r="Q57" s="1"/>
  <c r="M98"/>
  <c r="M99" s="1"/>
  <c r="M56"/>
  <c r="M57" s="1"/>
  <c r="H98"/>
  <c r="H99" s="1"/>
  <c r="H56"/>
  <c r="H57" s="1"/>
  <c r="F82"/>
  <c r="G82"/>
  <c r="I82"/>
  <c r="J82"/>
  <c r="H82"/>
  <c r="K82"/>
  <c r="L82"/>
  <c r="M82"/>
  <c r="N82"/>
  <c r="O82"/>
  <c r="P82"/>
  <c r="Q82"/>
  <c r="R82"/>
  <c r="S82"/>
  <c r="T82"/>
  <c r="U82"/>
  <c r="V82"/>
  <c r="W82"/>
  <c r="X82"/>
  <c r="Y82"/>
  <c r="Z82"/>
  <c r="AA82"/>
  <c r="AC82"/>
  <c r="AB82"/>
  <c r="AB98" i="47"/>
  <c r="AB99" s="1"/>
  <c r="AB56"/>
  <c r="AB57" s="1"/>
  <c r="X98"/>
  <c r="X99" s="1"/>
  <c r="X56"/>
  <c r="X57" s="1"/>
  <c r="T98"/>
  <c r="T99" s="1"/>
  <c r="T56"/>
  <c r="T57" s="1"/>
  <c r="P98"/>
  <c r="P99" s="1"/>
  <c r="P56"/>
  <c r="P57" s="1"/>
  <c r="L98"/>
  <c r="L99" s="1"/>
  <c r="L56"/>
  <c r="L57" s="1"/>
  <c r="G98"/>
  <c r="G99" s="1"/>
  <c r="G56"/>
  <c r="G57" s="1"/>
  <c r="AD49" i="44"/>
  <c r="F50"/>
  <c r="F51" s="1"/>
  <c r="F92"/>
  <c r="AD20" i="34"/>
  <c r="G74"/>
  <c r="Y137" i="45"/>
  <c r="Y136" i="46"/>
  <c r="Y138" i="47"/>
  <c r="Y137" i="46"/>
  <c r="Y139" i="47"/>
  <c r="Y138" i="45"/>
  <c r="H171" i="34"/>
  <c r="H192"/>
  <c r="O137" i="45"/>
  <c r="O138" i="47"/>
  <c r="O136" i="46"/>
  <c r="O138" i="45"/>
  <c r="O139" i="47"/>
  <c r="O137" i="46"/>
  <c r="H275" i="35"/>
  <c r="H317" s="1"/>
  <c r="H246"/>
  <c r="J364" i="29"/>
  <c r="J363"/>
  <c r="J365"/>
  <c r="G119" i="34"/>
  <c r="G120" s="1"/>
  <c r="G117"/>
  <c r="G118" s="1"/>
  <c r="G121"/>
  <c r="G122" s="1"/>
  <c r="F119"/>
  <c r="F117"/>
  <c r="F121"/>
  <c r="I286" i="35"/>
  <c r="I288" s="1"/>
  <c r="I267"/>
  <c r="E92" i="24" s="1"/>
  <c r="J343" i="29"/>
  <c r="J342"/>
  <c r="J344"/>
  <c r="I177" i="35"/>
  <c r="I33"/>
  <c r="F72" i="34"/>
  <c r="F74" s="1"/>
  <c r="F150" s="1"/>
  <c r="F43" i="29"/>
  <c r="G43"/>
  <c r="H104"/>
  <c r="H105" s="1"/>
  <c r="H43"/>
  <c r="AD161" i="35"/>
  <c r="G239"/>
  <c r="G240" s="1"/>
  <c r="G241"/>
  <c r="G242" s="1"/>
  <c r="G243"/>
  <c r="G244" s="1"/>
  <c r="G174"/>
  <c r="F174"/>
  <c r="F239"/>
  <c r="F241"/>
  <c r="F243"/>
  <c r="K110" i="29"/>
  <c r="K288"/>
  <c r="J310"/>
  <c r="K112"/>
  <c r="K195"/>
  <c r="F192"/>
  <c r="AD191"/>
  <c r="K190"/>
  <c r="K192" s="1"/>
  <c r="AD163"/>
  <c r="F180"/>
  <c r="AD69"/>
  <c r="K108"/>
  <c r="K111"/>
  <c r="K290"/>
  <c r="J314"/>
  <c r="I107" i="31"/>
  <c r="I20" s="1"/>
  <c r="L23" i="29" s="1"/>
  <c r="L111" s="1"/>
  <c r="L126" s="1"/>
  <c r="I108" i="31"/>
  <c r="I21" s="1"/>
  <c r="L24" i="29" s="1"/>
  <c r="L190" s="1"/>
  <c r="L192" s="1"/>
  <c r="I105" i="31"/>
  <c r="I18" s="1"/>
  <c r="I104"/>
  <c r="I17" s="1"/>
  <c r="L20" i="29" s="1"/>
  <c r="I109" i="31"/>
  <c r="I22" s="1"/>
  <c r="L25" i="29" s="1"/>
  <c r="L112" s="1"/>
  <c r="I106" i="31"/>
  <c r="I19" s="1"/>
  <c r="L22" i="29" s="1"/>
  <c r="L110" s="1"/>
  <c r="I110" i="31"/>
  <c r="I23" s="1"/>
  <c r="L26" i="29" s="1"/>
  <c r="L195" s="1"/>
  <c r="H41" i="31"/>
  <c r="K35" i="29" s="1"/>
  <c r="K21"/>
  <c r="G114" i="24" s="1"/>
  <c r="J102" i="31"/>
  <c r="K101"/>
  <c r="H278" i="29"/>
  <c r="H279" s="1"/>
  <c r="H276"/>
  <c r="H280"/>
  <c r="H281" s="1"/>
  <c r="G278"/>
  <c r="G279" s="1"/>
  <c r="G280"/>
  <c r="G281" s="1"/>
  <c r="G276"/>
  <c r="F276"/>
  <c r="F280"/>
  <c r="F278"/>
  <c r="F188"/>
  <c r="G188"/>
  <c r="G104"/>
  <c r="G105" s="1"/>
  <c r="F104"/>
  <c r="H164"/>
  <c r="H165" s="1"/>
  <c r="H202"/>
  <c r="H203" s="1"/>
  <c r="F164"/>
  <c r="F202"/>
  <c r="G164"/>
  <c r="G165" s="1"/>
  <c r="G202"/>
  <c r="G203" s="1"/>
  <c r="H70"/>
  <c r="H71" s="1"/>
  <c r="G70"/>
  <c r="G71" s="1"/>
  <c r="F70"/>
  <c r="D42" i="34"/>
  <c r="F46" s="1"/>
  <c r="H38" i="29"/>
  <c r="H76" i="34"/>
  <c r="H77" s="1"/>
  <c r="G210" i="29"/>
  <c r="G219" s="1"/>
  <c r="G330" s="1"/>
  <c r="F210"/>
  <c r="G38"/>
  <c r="G21" i="34"/>
  <c r="F38" i="29"/>
  <c r="B122" i="24" s="1"/>
  <c r="F21" i="34"/>
  <c r="AD21" s="1"/>
  <c r="H210" i="29"/>
  <c r="H219" s="1"/>
  <c r="H330" s="1"/>
  <c r="AC33" i="33"/>
  <c r="AC28"/>
  <c r="AC32"/>
  <c r="AC31"/>
  <c r="H29" i="29"/>
  <c r="F29"/>
  <c r="B115" i="24" s="1"/>
  <c r="G29" i="29"/>
  <c r="D92"/>
  <c r="F96" s="1"/>
  <c r="D129"/>
  <c r="A80" i="31"/>
  <c r="B126" i="24" l="1"/>
  <c r="F238" i="29"/>
  <c r="E9" i="24"/>
  <c r="D219" i="46"/>
  <c r="E6" i="24" s="1"/>
  <c r="F229" i="46"/>
  <c r="D229" s="1"/>
  <c r="E16" i="24" s="1"/>
  <c r="F250" i="46"/>
  <c r="D208"/>
  <c r="AB104" i="45"/>
  <c r="AB105" s="1"/>
  <c r="AB83"/>
  <c r="AB84" s="1"/>
  <c r="Y104"/>
  <c r="Y105" s="1"/>
  <c r="Y83"/>
  <c r="Y84" s="1"/>
  <c r="U104"/>
  <c r="U105" s="1"/>
  <c r="U108" s="1"/>
  <c r="U211" s="1"/>
  <c r="U83"/>
  <c r="U84" s="1"/>
  <c r="Q104"/>
  <c r="Q105" s="1"/>
  <c r="Q83"/>
  <c r="Q84" s="1"/>
  <c r="M104"/>
  <c r="M105" s="1"/>
  <c r="M83"/>
  <c r="M84" s="1"/>
  <c r="M209" s="1"/>
  <c r="J104"/>
  <c r="J105" s="1"/>
  <c r="J83"/>
  <c r="J84" s="1"/>
  <c r="AB155" i="35"/>
  <c r="AB156" s="1"/>
  <c r="AB92"/>
  <c r="AB93" s="1"/>
  <c r="AB269" s="1"/>
  <c r="AB311" s="1"/>
  <c r="Y155"/>
  <c r="Y156" s="1"/>
  <c r="Y92"/>
  <c r="Y93" s="1"/>
  <c r="Y269" s="1"/>
  <c r="Y311" s="1"/>
  <c r="U155"/>
  <c r="U156" s="1"/>
  <c r="U92"/>
  <c r="U93" s="1"/>
  <c r="Q155"/>
  <c r="Q156" s="1"/>
  <c r="Q92"/>
  <c r="Q93" s="1"/>
  <c r="Q269" s="1"/>
  <c r="Q311" s="1"/>
  <c r="M155"/>
  <c r="M156" s="1"/>
  <c r="M92"/>
  <c r="M93" s="1"/>
  <c r="H155"/>
  <c r="H156" s="1"/>
  <c r="H92"/>
  <c r="H93" s="1"/>
  <c r="F57" i="46"/>
  <c r="AD56"/>
  <c r="F57" i="47"/>
  <c r="AD56"/>
  <c r="Z104"/>
  <c r="Z105" s="1"/>
  <c r="Z83"/>
  <c r="Z84" s="1"/>
  <c r="Z205" s="1"/>
  <c r="V104"/>
  <c r="V105" s="1"/>
  <c r="V83"/>
  <c r="V84" s="1"/>
  <c r="R104"/>
  <c r="R105" s="1"/>
  <c r="R83"/>
  <c r="R84" s="1"/>
  <c r="R205" s="1"/>
  <c r="N104"/>
  <c r="N105" s="1"/>
  <c r="N83"/>
  <c r="N84" s="1"/>
  <c r="N205" s="1"/>
  <c r="J104"/>
  <c r="J105" s="1"/>
  <c r="J83"/>
  <c r="J84" s="1"/>
  <c r="J205" s="1"/>
  <c r="I104"/>
  <c r="I105" s="1"/>
  <c r="I83"/>
  <c r="I84" s="1"/>
  <c r="I205" s="1"/>
  <c r="AD126" i="35"/>
  <c r="F127"/>
  <c r="F66"/>
  <c r="AD66" s="1"/>
  <c r="AD65"/>
  <c r="Z103" i="46"/>
  <c r="Z104" s="1"/>
  <c r="Z107" s="1"/>
  <c r="Z207" s="1"/>
  <c r="Z82"/>
  <c r="Z83" s="1"/>
  <c r="Z205" s="1"/>
  <c r="V103"/>
  <c r="V104" s="1"/>
  <c r="V82"/>
  <c r="V83" s="1"/>
  <c r="R103"/>
  <c r="R104" s="1"/>
  <c r="R107" s="1"/>
  <c r="R207" s="1"/>
  <c r="R82"/>
  <c r="R83" s="1"/>
  <c r="R205" s="1"/>
  <c r="N103"/>
  <c r="N104" s="1"/>
  <c r="N82"/>
  <c r="N83" s="1"/>
  <c r="J103"/>
  <c r="J104" s="1"/>
  <c r="J107" s="1"/>
  <c r="J207" s="1"/>
  <c r="J82"/>
  <c r="J83" s="1"/>
  <c r="J205" s="1"/>
  <c r="F82"/>
  <c r="AD81"/>
  <c r="F103"/>
  <c r="Q209" i="45"/>
  <c r="Y209"/>
  <c r="J109" i="47"/>
  <c r="J207" s="1"/>
  <c r="R109"/>
  <c r="R207" s="1"/>
  <c r="Z109"/>
  <c r="Z207" s="1"/>
  <c r="Z104" i="45"/>
  <c r="Z105" s="1"/>
  <c r="Z108" s="1"/>
  <c r="Z211" s="1"/>
  <c r="Z83"/>
  <c r="Z84" s="1"/>
  <c r="V104"/>
  <c r="V105" s="1"/>
  <c r="V83"/>
  <c r="V84" s="1"/>
  <c r="V209" s="1"/>
  <c r="R104"/>
  <c r="R105" s="1"/>
  <c r="R83"/>
  <c r="R84" s="1"/>
  <c r="N104"/>
  <c r="N105" s="1"/>
  <c r="N83"/>
  <c r="N84" s="1"/>
  <c r="N209" s="1"/>
  <c r="H104"/>
  <c r="H105" s="1"/>
  <c r="H83"/>
  <c r="H84" s="1"/>
  <c r="F83"/>
  <c r="F104"/>
  <c r="AD82"/>
  <c r="Z155" i="35"/>
  <c r="Z156" s="1"/>
  <c r="Z92"/>
  <c r="Z93" s="1"/>
  <c r="Z269" s="1"/>
  <c r="Z311" s="1"/>
  <c r="V155"/>
  <c r="V156" s="1"/>
  <c r="V92"/>
  <c r="V93" s="1"/>
  <c r="V269" s="1"/>
  <c r="R155"/>
  <c r="R156" s="1"/>
  <c r="R92"/>
  <c r="R93" s="1"/>
  <c r="R269" s="1"/>
  <c r="R311" s="1"/>
  <c r="N155"/>
  <c r="N156" s="1"/>
  <c r="N92"/>
  <c r="N93" s="1"/>
  <c r="N269" s="1"/>
  <c r="N311" s="1"/>
  <c r="J155"/>
  <c r="J156" s="1"/>
  <c r="J92"/>
  <c r="J93" s="1"/>
  <c r="J269" s="1"/>
  <c r="I155"/>
  <c r="I156" s="1"/>
  <c r="I92"/>
  <c r="I93" s="1"/>
  <c r="I269" s="1"/>
  <c r="AD98" i="47"/>
  <c r="F99"/>
  <c r="AA104"/>
  <c r="AA105" s="1"/>
  <c r="AA109" s="1"/>
  <c r="AA207" s="1"/>
  <c r="AA83"/>
  <c r="AA84" s="1"/>
  <c r="W104"/>
  <c r="W105" s="1"/>
  <c r="W109" s="1"/>
  <c r="W207" s="1"/>
  <c r="W83"/>
  <c r="W84" s="1"/>
  <c r="S104"/>
  <c r="S105" s="1"/>
  <c r="S109" s="1"/>
  <c r="S207" s="1"/>
  <c r="S83"/>
  <c r="S84" s="1"/>
  <c r="O104"/>
  <c r="O105" s="1"/>
  <c r="O109" s="1"/>
  <c r="O207" s="1"/>
  <c r="O83"/>
  <c r="O84" s="1"/>
  <c r="K104"/>
  <c r="K105" s="1"/>
  <c r="K109" s="1"/>
  <c r="K207" s="1"/>
  <c r="K83"/>
  <c r="K84" s="1"/>
  <c r="G83"/>
  <c r="G84" s="1"/>
  <c r="G205" s="1"/>
  <c r="G104"/>
  <c r="G105" s="1"/>
  <c r="F99" i="45"/>
  <c r="AD98"/>
  <c r="AA103" i="46"/>
  <c r="AA104" s="1"/>
  <c r="AA82"/>
  <c r="AA83" s="1"/>
  <c r="W103"/>
  <c r="W104" s="1"/>
  <c r="W107" s="1"/>
  <c r="W207" s="1"/>
  <c r="W82"/>
  <c r="W83" s="1"/>
  <c r="W205" s="1"/>
  <c r="S103"/>
  <c r="S104" s="1"/>
  <c r="S107" s="1"/>
  <c r="S207" s="1"/>
  <c r="S82"/>
  <c r="S83" s="1"/>
  <c r="O103"/>
  <c r="O104" s="1"/>
  <c r="O107" s="1"/>
  <c r="O207" s="1"/>
  <c r="O82"/>
  <c r="O83" s="1"/>
  <c r="O205" s="1"/>
  <c r="K103"/>
  <c r="K104" s="1"/>
  <c r="K107" s="1"/>
  <c r="K207" s="1"/>
  <c r="K82"/>
  <c r="K83" s="1"/>
  <c r="I103"/>
  <c r="I104" s="1"/>
  <c r="I82"/>
  <c r="I83" s="1"/>
  <c r="I205" s="1"/>
  <c r="M108" i="45"/>
  <c r="M211" s="1"/>
  <c r="AB108"/>
  <c r="AB211" s="1"/>
  <c r="O205" i="47"/>
  <c r="W205"/>
  <c r="J108" i="45"/>
  <c r="J211" s="1"/>
  <c r="R108"/>
  <c r="R211" s="1"/>
  <c r="AA104"/>
  <c r="AA105" s="1"/>
  <c r="AA108" s="1"/>
  <c r="AA211" s="1"/>
  <c r="AA83"/>
  <c r="AA84" s="1"/>
  <c r="AA209" s="1"/>
  <c r="W104"/>
  <c r="W105" s="1"/>
  <c r="W108" s="1"/>
  <c r="W211" s="1"/>
  <c r="W83"/>
  <c r="W84" s="1"/>
  <c r="W209" s="1"/>
  <c r="S104"/>
  <c r="S105" s="1"/>
  <c r="S108" s="1"/>
  <c r="S211" s="1"/>
  <c r="S83"/>
  <c r="S84" s="1"/>
  <c r="S209" s="1"/>
  <c r="O104"/>
  <c r="O105" s="1"/>
  <c r="O108" s="1"/>
  <c r="O211" s="1"/>
  <c r="O83"/>
  <c r="O84" s="1"/>
  <c r="O209" s="1"/>
  <c r="K104"/>
  <c r="K105" s="1"/>
  <c r="K108" s="1"/>
  <c r="K211" s="1"/>
  <c r="K83"/>
  <c r="K84" s="1"/>
  <c r="K209" s="1"/>
  <c r="G83"/>
  <c r="G84" s="1"/>
  <c r="G209" s="1"/>
  <c r="G104"/>
  <c r="G105" s="1"/>
  <c r="G108" s="1"/>
  <c r="G211" s="1"/>
  <c r="AA155" i="35"/>
  <c r="AA156" s="1"/>
  <c r="AA92"/>
  <c r="AA93" s="1"/>
  <c r="AA269" s="1"/>
  <c r="AA311" s="1"/>
  <c r="W155"/>
  <c r="W156" s="1"/>
  <c r="W92"/>
  <c r="W93" s="1"/>
  <c r="W269" s="1"/>
  <c r="W311" s="1"/>
  <c r="S155"/>
  <c r="S156" s="1"/>
  <c r="S92"/>
  <c r="S93" s="1"/>
  <c r="S269" s="1"/>
  <c r="S311" s="1"/>
  <c r="O155"/>
  <c r="O156" s="1"/>
  <c r="O92"/>
  <c r="O93" s="1"/>
  <c r="O269" s="1"/>
  <c r="O311" s="1"/>
  <c r="K155"/>
  <c r="K156" s="1"/>
  <c r="K92"/>
  <c r="K93" s="1"/>
  <c r="K269" s="1"/>
  <c r="K311" s="1"/>
  <c r="G92"/>
  <c r="G93" s="1"/>
  <c r="G269" s="1"/>
  <c r="G155"/>
  <c r="G156" s="1"/>
  <c r="F77" i="44"/>
  <c r="F78" s="1"/>
  <c r="F98"/>
  <c r="AD76"/>
  <c r="AC104" i="47"/>
  <c r="AC105" s="1"/>
  <c r="AC109" s="1"/>
  <c r="AC207" s="1"/>
  <c r="AC83"/>
  <c r="AC84" s="1"/>
  <c r="AC205" s="1"/>
  <c r="X104"/>
  <c r="X105" s="1"/>
  <c r="X83"/>
  <c r="X84" s="1"/>
  <c r="X205" s="1"/>
  <c r="T104"/>
  <c r="T105" s="1"/>
  <c r="T109" s="1"/>
  <c r="T207" s="1"/>
  <c r="T83"/>
  <c r="T84" s="1"/>
  <c r="T205" s="1"/>
  <c r="P104"/>
  <c r="P105" s="1"/>
  <c r="P83"/>
  <c r="P84" s="1"/>
  <c r="P205" s="1"/>
  <c r="L104"/>
  <c r="L105" s="1"/>
  <c r="L109" s="1"/>
  <c r="L207" s="1"/>
  <c r="L83"/>
  <c r="L84" s="1"/>
  <c r="F83"/>
  <c r="AD82"/>
  <c r="F104"/>
  <c r="AD99"/>
  <c r="F150" i="35"/>
  <c r="AD150" s="1"/>
  <c r="AD149"/>
  <c r="AB103" i="46"/>
  <c r="AB104" s="1"/>
  <c r="AB107" s="1"/>
  <c r="AB207" s="1"/>
  <c r="AB82"/>
  <c r="AB83" s="1"/>
  <c r="AB205" s="1"/>
  <c r="X103"/>
  <c r="X104" s="1"/>
  <c r="X107" s="1"/>
  <c r="X207" s="1"/>
  <c r="X82"/>
  <c r="X83" s="1"/>
  <c r="T103"/>
  <c r="T104" s="1"/>
  <c r="T107" s="1"/>
  <c r="T207" s="1"/>
  <c r="T82"/>
  <c r="T83" s="1"/>
  <c r="T205" s="1"/>
  <c r="P103"/>
  <c r="P104" s="1"/>
  <c r="P107" s="1"/>
  <c r="P207" s="1"/>
  <c r="P82"/>
  <c r="P83" s="1"/>
  <c r="L103"/>
  <c r="L104" s="1"/>
  <c r="L107" s="1"/>
  <c r="L207" s="1"/>
  <c r="L82"/>
  <c r="L83" s="1"/>
  <c r="L205" s="1"/>
  <c r="G82"/>
  <c r="G83" s="1"/>
  <c r="G205" s="1"/>
  <c r="G103"/>
  <c r="G104" s="1"/>
  <c r="G107" s="1"/>
  <c r="G207" s="1"/>
  <c r="F202" i="44"/>
  <c r="L205" i="47"/>
  <c r="U209" i="45"/>
  <c r="AB209"/>
  <c r="M269" i="35"/>
  <c r="U269"/>
  <c r="AA107" i="46"/>
  <c r="AA207" s="1"/>
  <c r="I109" i="47"/>
  <c r="I207" s="1"/>
  <c r="N109"/>
  <c r="N207" s="1"/>
  <c r="V109"/>
  <c r="V207" s="1"/>
  <c r="I107" i="46"/>
  <c r="I207" s="1"/>
  <c r="N107"/>
  <c r="N207" s="1"/>
  <c r="V107"/>
  <c r="V207" s="1"/>
  <c r="J209" i="45"/>
  <c r="R209"/>
  <c r="Z209"/>
  <c r="AD92" i="44"/>
  <c r="F93"/>
  <c r="AC104" i="45"/>
  <c r="AC105" s="1"/>
  <c r="AC108" s="1"/>
  <c r="AC211" s="1"/>
  <c r="AC83"/>
  <c r="AC84" s="1"/>
  <c r="AC209" s="1"/>
  <c r="X104"/>
  <c r="X105" s="1"/>
  <c r="X108" s="1"/>
  <c r="X211" s="1"/>
  <c r="X83"/>
  <c r="X84" s="1"/>
  <c r="X209" s="1"/>
  <c r="T104"/>
  <c r="T105" s="1"/>
  <c r="T108" s="1"/>
  <c r="T211" s="1"/>
  <c r="T83"/>
  <c r="T84" s="1"/>
  <c r="P104"/>
  <c r="P105" s="1"/>
  <c r="P108" s="1"/>
  <c r="P211" s="1"/>
  <c r="P83"/>
  <c r="P84" s="1"/>
  <c r="P209" s="1"/>
  <c r="L104"/>
  <c r="L105" s="1"/>
  <c r="L108" s="1"/>
  <c r="L211" s="1"/>
  <c r="L83"/>
  <c r="L84" s="1"/>
  <c r="I104"/>
  <c r="I105" s="1"/>
  <c r="I108" s="1"/>
  <c r="I211" s="1"/>
  <c r="I83"/>
  <c r="I84" s="1"/>
  <c r="AC155" i="35"/>
  <c r="AC156" s="1"/>
  <c r="AC92"/>
  <c r="AC93" s="1"/>
  <c r="AC269" s="1"/>
  <c r="AC311" s="1"/>
  <c r="X155"/>
  <c r="X156" s="1"/>
  <c r="X92"/>
  <c r="X93" s="1"/>
  <c r="X269" s="1"/>
  <c r="X311" s="1"/>
  <c r="T155"/>
  <c r="T156" s="1"/>
  <c r="T92"/>
  <c r="T93" s="1"/>
  <c r="T269" s="1"/>
  <c r="T311" s="1"/>
  <c r="P155"/>
  <c r="P156" s="1"/>
  <c r="P92"/>
  <c r="P93" s="1"/>
  <c r="P269" s="1"/>
  <c r="P311" s="1"/>
  <c r="L155"/>
  <c r="L156" s="1"/>
  <c r="L92"/>
  <c r="L93" s="1"/>
  <c r="L269" s="1"/>
  <c r="L311" s="1"/>
  <c r="F155"/>
  <c r="AD91"/>
  <c r="F92"/>
  <c r="F98" i="46"/>
  <c r="AD97"/>
  <c r="AB104" i="47"/>
  <c r="AB105" s="1"/>
  <c r="AB109" s="1"/>
  <c r="AB207" s="1"/>
  <c r="AB83"/>
  <c r="AB84" s="1"/>
  <c r="AB205" s="1"/>
  <c r="Y104"/>
  <c r="Y105" s="1"/>
  <c r="Y109" s="1"/>
  <c r="Y207" s="1"/>
  <c r="Y83"/>
  <c r="Y84" s="1"/>
  <c r="Y205" s="1"/>
  <c r="U104"/>
  <c r="U105" s="1"/>
  <c r="U109" s="1"/>
  <c r="U207" s="1"/>
  <c r="U83"/>
  <c r="U84" s="1"/>
  <c r="U205" s="1"/>
  <c r="Q104"/>
  <c r="Q105" s="1"/>
  <c r="Q109" s="1"/>
  <c r="Q207" s="1"/>
  <c r="Q83"/>
  <c r="Q84" s="1"/>
  <c r="Q205" s="1"/>
  <c r="M104"/>
  <c r="M105" s="1"/>
  <c r="M109" s="1"/>
  <c r="M207" s="1"/>
  <c r="M83"/>
  <c r="M84" s="1"/>
  <c r="M205" s="1"/>
  <c r="H104"/>
  <c r="H105" s="1"/>
  <c r="H109" s="1"/>
  <c r="H207" s="1"/>
  <c r="H83"/>
  <c r="H84" s="1"/>
  <c r="H205" s="1"/>
  <c r="AD57"/>
  <c r="AG18" s="1"/>
  <c r="F166" i="35"/>
  <c r="AD166" s="1"/>
  <c r="AD165"/>
  <c r="F57" i="45"/>
  <c r="AD57" s="1"/>
  <c r="AD56"/>
  <c r="AC103" i="46"/>
  <c r="AC104" s="1"/>
  <c r="AC107" s="1"/>
  <c r="AC207" s="1"/>
  <c r="AC82"/>
  <c r="AC83" s="1"/>
  <c r="AC205" s="1"/>
  <c r="Y103"/>
  <c r="Y104" s="1"/>
  <c r="Y107" s="1"/>
  <c r="Y207" s="1"/>
  <c r="Y82"/>
  <c r="Y83" s="1"/>
  <c r="U103"/>
  <c r="U104" s="1"/>
  <c r="U107" s="1"/>
  <c r="U207" s="1"/>
  <c r="U82"/>
  <c r="U83" s="1"/>
  <c r="U205" s="1"/>
  <c r="Q103"/>
  <c r="Q104" s="1"/>
  <c r="Q107" s="1"/>
  <c r="Q207" s="1"/>
  <c r="Q82"/>
  <c r="Q83" s="1"/>
  <c r="Q205" s="1"/>
  <c r="M103"/>
  <c r="M104" s="1"/>
  <c r="M107" s="1"/>
  <c r="M207" s="1"/>
  <c r="M82"/>
  <c r="M83" s="1"/>
  <c r="M205" s="1"/>
  <c r="H103"/>
  <c r="H104" s="1"/>
  <c r="H107" s="1"/>
  <c r="H207" s="1"/>
  <c r="H82"/>
  <c r="H83" s="1"/>
  <c r="H205" s="1"/>
  <c r="G109" i="47"/>
  <c r="G207" s="1"/>
  <c r="P109"/>
  <c r="P207" s="1"/>
  <c r="X109"/>
  <c r="X207" s="1"/>
  <c r="H108" i="45"/>
  <c r="H211" s="1"/>
  <c r="Q108"/>
  <c r="Q211" s="1"/>
  <c r="Y108"/>
  <c r="Y211" s="1"/>
  <c r="P205" i="46"/>
  <c r="X205"/>
  <c r="K205" i="47"/>
  <c r="S205"/>
  <c r="AA205"/>
  <c r="L209" i="45"/>
  <c r="T209"/>
  <c r="K205" i="46"/>
  <c r="S205"/>
  <c r="AA205"/>
  <c r="V205" i="47"/>
  <c r="I209" i="45"/>
  <c r="N205" i="46"/>
  <c r="V205"/>
  <c r="H269" i="35"/>
  <c r="N108" i="45"/>
  <c r="N211" s="1"/>
  <c r="V108"/>
  <c r="V211" s="1"/>
  <c r="Y205" i="46"/>
  <c r="F64" i="34"/>
  <c r="G150"/>
  <c r="G221" i="29"/>
  <c r="G222" s="1"/>
  <c r="G277"/>
  <c r="G375" s="1"/>
  <c r="H277"/>
  <c r="G149"/>
  <c r="G153" s="1"/>
  <c r="C115" i="24"/>
  <c r="H221" i="29"/>
  <c r="H222" s="1"/>
  <c r="H149"/>
  <c r="H153" s="1"/>
  <c r="D115" i="24"/>
  <c r="L108" i="29"/>
  <c r="L124" s="1"/>
  <c r="H296" i="35"/>
  <c r="G275"/>
  <c r="G317" s="1"/>
  <c r="G246"/>
  <c r="F171" i="34"/>
  <c r="F192"/>
  <c r="K364" i="29"/>
  <c r="K365"/>
  <c r="K363"/>
  <c r="H351"/>
  <c r="H372"/>
  <c r="G351"/>
  <c r="G372"/>
  <c r="P290" i="35"/>
  <c r="X290"/>
  <c r="L290"/>
  <c r="Z290"/>
  <c r="AA290"/>
  <c r="R290"/>
  <c r="K290"/>
  <c r="Q290"/>
  <c r="Y290"/>
  <c r="W290"/>
  <c r="O290"/>
  <c r="AB290"/>
  <c r="S290"/>
  <c r="K343" i="29"/>
  <c r="K342"/>
  <c r="K344"/>
  <c r="G153" i="34"/>
  <c r="H166"/>
  <c r="F244" i="35"/>
  <c r="F118" i="34"/>
  <c r="AD117"/>
  <c r="F120"/>
  <c r="AD120" s="1"/>
  <c r="AD119"/>
  <c r="F240" i="35"/>
  <c r="F122" i="34"/>
  <c r="AD122" s="1"/>
  <c r="AD121"/>
  <c r="F242" i="35"/>
  <c r="F76" i="34"/>
  <c r="F77" s="1"/>
  <c r="G76"/>
  <c r="F277" i="29"/>
  <c r="F221"/>
  <c r="F219"/>
  <c r="F330" s="1"/>
  <c r="F165"/>
  <c r="F281"/>
  <c r="L290"/>
  <c r="K314"/>
  <c r="K124"/>
  <c r="F149"/>
  <c r="F203"/>
  <c r="AD202"/>
  <c r="F279"/>
  <c r="L288"/>
  <c r="K310"/>
  <c r="F71"/>
  <c r="K109"/>
  <c r="K126"/>
  <c r="F181"/>
  <c r="AD180"/>
  <c r="F105"/>
  <c r="J110" i="31"/>
  <c r="J23" s="1"/>
  <c r="M26" i="29" s="1"/>
  <c r="M195" s="1"/>
  <c r="J105" i="31"/>
  <c r="J18" s="1"/>
  <c r="J109"/>
  <c r="J22" s="1"/>
  <c r="M25" i="29" s="1"/>
  <c r="M112" s="1"/>
  <c r="J106" i="31"/>
  <c r="J19" s="1"/>
  <c r="M22" i="29" s="1"/>
  <c r="M110" s="1"/>
  <c r="J107" i="31"/>
  <c r="J20" s="1"/>
  <c r="M23" i="29" s="1"/>
  <c r="M111" s="1"/>
  <c r="M126" s="1"/>
  <c r="J104" i="31"/>
  <c r="J17" s="1"/>
  <c r="M20" i="29" s="1"/>
  <c r="J108" i="31"/>
  <c r="J21" s="1"/>
  <c r="M24" i="29" s="1"/>
  <c r="M190" s="1"/>
  <c r="M192" s="1"/>
  <c r="K102" i="31"/>
  <c r="L101"/>
  <c r="I41"/>
  <c r="L35" i="29" s="1"/>
  <c r="L21"/>
  <c r="L109" s="1"/>
  <c r="L125" s="1"/>
  <c r="I130"/>
  <c r="I196" s="1"/>
  <c r="Q130"/>
  <c r="Q196" s="1"/>
  <c r="AB130"/>
  <c r="AB196" s="1"/>
  <c r="M130"/>
  <c r="M196" s="1"/>
  <c r="Y130"/>
  <c r="Y196" s="1"/>
  <c r="U130"/>
  <c r="U196" s="1"/>
  <c r="R130"/>
  <c r="R196" s="1"/>
  <c r="AA130"/>
  <c r="AA196" s="1"/>
  <c r="K130"/>
  <c r="K196" s="1"/>
  <c r="X130"/>
  <c r="X196" s="1"/>
  <c r="J130"/>
  <c r="J196" s="1"/>
  <c r="V130"/>
  <c r="V196" s="1"/>
  <c r="F130"/>
  <c r="F196" s="1"/>
  <c r="O130"/>
  <c r="O196" s="1"/>
  <c r="AC130"/>
  <c r="AC196" s="1"/>
  <c r="L130"/>
  <c r="L196" s="1"/>
  <c r="Z130"/>
  <c r="Z196" s="1"/>
  <c r="G130"/>
  <c r="G196" s="1"/>
  <c r="G197" s="1"/>
  <c r="N130"/>
  <c r="N196" s="1"/>
  <c r="W130"/>
  <c r="W196" s="1"/>
  <c r="H130"/>
  <c r="H196" s="1"/>
  <c r="T130"/>
  <c r="T196" s="1"/>
  <c r="S130"/>
  <c r="S196" s="1"/>
  <c r="P130"/>
  <c r="P196" s="1"/>
  <c r="F97"/>
  <c r="F186"/>
  <c r="P46" i="34"/>
  <c r="P64" s="1"/>
  <c r="P65" s="1"/>
  <c r="P68" s="1"/>
  <c r="P149" s="1"/>
  <c r="T46"/>
  <c r="T64" s="1"/>
  <c r="T65" s="1"/>
  <c r="T68" s="1"/>
  <c r="T149" s="1"/>
  <c r="H46"/>
  <c r="H64" s="1"/>
  <c r="H65" s="1"/>
  <c r="H68" s="1"/>
  <c r="H149" s="1"/>
  <c r="J46"/>
  <c r="J64" s="1"/>
  <c r="J65" s="1"/>
  <c r="J68" s="1"/>
  <c r="J149" s="1"/>
  <c r="M46"/>
  <c r="M64" s="1"/>
  <c r="M65" s="1"/>
  <c r="M68" s="1"/>
  <c r="M149" s="1"/>
  <c r="G46"/>
  <c r="G64" s="1"/>
  <c r="G65" s="1"/>
  <c r="G68" s="1"/>
  <c r="G149" s="1"/>
  <c r="L46"/>
  <c r="L64" s="1"/>
  <c r="L65" s="1"/>
  <c r="L68" s="1"/>
  <c r="L149" s="1"/>
  <c r="K46"/>
  <c r="K64" s="1"/>
  <c r="K65" s="1"/>
  <c r="K68" s="1"/>
  <c r="K149" s="1"/>
  <c r="W46"/>
  <c r="W64" s="1"/>
  <c r="W65" s="1"/>
  <c r="W68" s="1"/>
  <c r="W149" s="1"/>
  <c r="R46"/>
  <c r="R64" s="1"/>
  <c r="R65" s="1"/>
  <c r="R68" s="1"/>
  <c r="R149" s="1"/>
  <c r="U46"/>
  <c r="U64" s="1"/>
  <c r="U65" s="1"/>
  <c r="U68" s="1"/>
  <c r="U149" s="1"/>
  <c r="I46"/>
  <c r="I64" s="1"/>
  <c r="I65" s="1"/>
  <c r="I68" s="1"/>
  <c r="I149" s="1"/>
  <c r="N46"/>
  <c r="N64" s="1"/>
  <c r="N65" s="1"/>
  <c r="N68" s="1"/>
  <c r="N149" s="1"/>
  <c r="Q46"/>
  <c r="Q64" s="1"/>
  <c r="Q65" s="1"/>
  <c r="Q68" s="1"/>
  <c r="Q149" s="1"/>
  <c r="O46"/>
  <c r="O64" s="1"/>
  <c r="O65" s="1"/>
  <c r="O68" s="1"/>
  <c r="O149" s="1"/>
  <c r="V46"/>
  <c r="V64" s="1"/>
  <c r="V65" s="1"/>
  <c r="V68" s="1"/>
  <c r="V149" s="1"/>
  <c r="S46"/>
  <c r="S64" s="1"/>
  <c r="S65" s="1"/>
  <c r="S68" s="1"/>
  <c r="S149" s="1"/>
  <c r="X46"/>
  <c r="X64" s="1"/>
  <c r="X65" s="1"/>
  <c r="X68" s="1"/>
  <c r="X149" s="1"/>
  <c r="Y46"/>
  <c r="Y64" s="1"/>
  <c r="Y65" s="1"/>
  <c r="Y68" s="1"/>
  <c r="Y149" s="1"/>
  <c r="Z46"/>
  <c r="Z64" s="1"/>
  <c r="Z65" s="1"/>
  <c r="Z68" s="1"/>
  <c r="Z149" s="1"/>
  <c r="AA46"/>
  <c r="AA64" s="1"/>
  <c r="AA65" s="1"/>
  <c r="AA68" s="1"/>
  <c r="AA149" s="1"/>
  <c r="AB46"/>
  <c r="AB64" s="1"/>
  <c r="AB65" s="1"/>
  <c r="AB68" s="1"/>
  <c r="AB149" s="1"/>
  <c r="AC46"/>
  <c r="AC64" s="1"/>
  <c r="AC65" s="1"/>
  <c r="AC68" s="1"/>
  <c r="AC149" s="1"/>
  <c r="Y96" i="29"/>
  <c r="Y186" s="1"/>
  <c r="P96"/>
  <c r="P186" s="1"/>
  <c r="W96"/>
  <c r="W186" s="1"/>
  <c r="T96"/>
  <c r="T186" s="1"/>
  <c r="M96"/>
  <c r="M186" s="1"/>
  <c r="U96"/>
  <c r="U186" s="1"/>
  <c r="I96"/>
  <c r="I186" s="1"/>
  <c r="L96"/>
  <c r="L186" s="1"/>
  <c r="G96"/>
  <c r="AA96"/>
  <c r="AA186" s="1"/>
  <c r="AB96"/>
  <c r="AB186" s="1"/>
  <c r="AC96"/>
  <c r="AC186" s="1"/>
  <c r="Z96"/>
  <c r="Z186" s="1"/>
  <c r="S96"/>
  <c r="S186" s="1"/>
  <c r="H96"/>
  <c r="X96"/>
  <c r="X186" s="1"/>
  <c r="Q96"/>
  <c r="Q186" s="1"/>
  <c r="K96"/>
  <c r="K186" s="1"/>
  <c r="N96"/>
  <c r="N186" s="1"/>
  <c r="R96"/>
  <c r="R186" s="1"/>
  <c r="V96"/>
  <c r="V186" s="1"/>
  <c r="J96"/>
  <c r="J186" s="1"/>
  <c r="O96"/>
  <c r="O186" s="1"/>
  <c r="I15"/>
  <c r="F13" i="31"/>
  <c r="I16" i="29" s="1"/>
  <c r="F14" i="31"/>
  <c r="I17" i="29" s="1"/>
  <c r="F27" i="31"/>
  <c r="I30" i="29" s="1"/>
  <c r="I29"/>
  <c r="F28" i="31"/>
  <c r="I31" i="29" s="1"/>
  <c r="F8" i="31"/>
  <c r="I12" i="29" s="1"/>
  <c r="F7" i="31"/>
  <c r="C90" i="9"/>
  <c r="C84"/>
  <c r="C89"/>
  <c r="T290" i="35" l="1"/>
  <c r="AC290"/>
  <c r="N290"/>
  <c r="M228" i="46"/>
  <c r="M249"/>
  <c r="U228"/>
  <c r="U249"/>
  <c r="AC228"/>
  <c r="AC249"/>
  <c r="H228" i="47"/>
  <c r="H249"/>
  <c r="Q249"/>
  <c r="Q228"/>
  <c r="Y228"/>
  <c r="Y249"/>
  <c r="G249" i="46"/>
  <c r="G228"/>
  <c r="P226" i="47"/>
  <c r="P247"/>
  <c r="X247"/>
  <c r="X226"/>
  <c r="G311" i="35"/>
  <c r="G290"/>
  <c r="I311"/>
  <c r="I290"/>
  <c r="M226" i="46"/>
  <c r="M247"/>
  <c r="U226"/>
  <c r="U247"/>
  <c r="AC226"/>
  <c r="AC247"/>
  <c r="I253" i="45"/>
  <c r="I232"/>
  <c r="P253"/>
  <c r="P232"/>
  <c r="X253"/>
  <c r="X232"/>
  <c r="L249" i="46"/>
  <c r="L228"/>
  <c r="T228"/>
  <c r="T249"/>
  <c r="AB228"/>
  <c r="AB249"/>
  <c r="L249" i="47"/>
  <c r="L228"/>
  <c r="T228"/>
  <c r="T249"/>
  <c r="AC249"/>
  <c r="AC228"/>
  <c r="G232" i="45"/>
  <c r="G253"/>
  <c r="G226" i="47"/>
  <c r="G247"/>
  <c r="O249"/>
  <c r="O228"/>
  <c r="W228"/>
  <c r="W249"/>
  <c r="H228" i="46"/>
  <c r="H249"/>
  <c r="Q228"/>
  <c r="Q249"/>
  <c r="Y228"/>
  <c r="Y249"/>
  <c r="M228" i="47"/>
  <c r="M249"/>
  <c r="U228"/>
  <c r="U249"/>
  <c r="AB228"/>
  <c r="AB249"/>
  <c r="P251" i="45"/>
  <c r="P230"/>
  <c r="X251"/>
  <c r="X230"/>
  <c r="L226" i="46"/>
  <c r="L247"/>
  <c r="T226"/>
  <c r="T247"/>
  <c r="AB226"/>
  <c r="AB247"/>
  <c r="AC247" i="47"/>
  <c r="AC226"/>
  <c r="K232" i="45"/>
  <c r="K253"/>
  <c r="S253"/>
  <c r="S232"/>
  <c r="AA253"/>
  <c r="AA232"/>
  <c r="J311" i="35"/>
  <c r="J290"/>
  <c r="H226" i="46"/>
  <c r="H247"/>
  <c r="M226" i="47"/>
  <c r="M247"/>
  <c r="U247"/>
  <c r="U226"/>
  <c r="AB247"/>
  <c r="AB226"/>
  <c r="L253" i="45"/>
  <c r="L232"/>
  <c r="T253"/>
  <c r="T232"/>
  <c r="AC253"/>
  <c r="AC232"/>
  <c r="G247" i="46"/>
  <c r="G226"/>
  <c r="P228"/>
  <c r="P249"/>
  <c r="K251" i="45"/>
  <c r="K230"/>
  <c r="S251"/>
  <c r="S230"/>
  <c r="AA251"/>
  <c r="AA230"/>
  <c r="O228" i="46"/>
  <c r="O249"/>
  <c r="W228"/>
  <c r="W249"/>
  <c r="N251" i="45"/>
  <c r="N230"/>
  <c r="J247" i="46"/>
  <c r="J226"/>
  <c r="H311" i="35"/>
  <c r="H290"/>
  <c r="N226" i="46"/>
  <c r="N247"/>
  <c r="V247" i="47"/>
  <c r="V226"/>
  <c r="S226" i="46"/>
  <c r="S247"/>
  <c r="AA247" i="47"/>
  <c r="AA226"/>
  <c r="P226" i="46"/>
  <c r="P247"/>
  <c r="Y253" i="45"/>
  <c r="Y232"/>
  <c r="P228" i="47"/>
  <c r="P249"/>
  <c r="AD155" i="35"/>
  <c r="F156"/>
  <c r="J251" i="45"/>
  <c r="J230"/>
  <c r="N228" i="46"/>
  <c r="N249"/>
  <c r="AA228"/>
  <c r="AA249"/>
  <c r="X228"/>
  <c r="X249"/>
  <c r="AB251" i="45"/>
  <c r="AB230"/>
  <c r="L226" i="47"/>
  <c r="L247"/>
  <c r="F84"/>
  <c r="AD84" s="1"/>
  <c r="AD83"/>
  <c r="F99" i="44"/>
  <c r="AD98"/>
  <c r="R226" i="46"/>
  <c r="R247"/>
  <c r="W226"/>
  <c r="W247"/>
  <c r="AD99" i="45"/>
  <c r="AD104"/>
  <c r="F105"/>
  <c r="F108" s="1"/>
  <c r="V251"/>
  <c r="V230"/>
  <c r="Z228" i="46"/>
  <c r="Z249"/>
  <c r="Y251" i="45"/>
  <c r="Y230"/>
  <c r="F83" i="46"/>
  <c r="AD83" s="1"/>
  <c r="AD82"/>
  <c r="AD57"/>
  <c r="U253" i="45"/>
  <c r="U232"/>
  <c r="Q226" i="46"/>
  <c r="Q247"/>
  <c r="N253" i="45"/>
  <c r="N232"/>
  <c r="V226" i="46"/>
  <c r="V247"/>
  <c r="I230" i="45"/>
  <c r="I251"/>
  <c r="AA226" i="46"/>
  <c r="AA247"/>
  <c r="L251" i="45"/>
  <c r="L230"/>
  <c r="X226" i="46"/>
  <c r="X247"/>
  <c r="X249" i="47"/>
  <c r="X228"/>
  <c r="J228" i="46"/>
  <c r="J249"/>
  <c r="R251" i="45"/>
  <c r="R230"/>
  <c r="V228" i="46"/>
  <c r="V249"/>
  <c r="I228" i="47"/>
  <c r="I249"/>
  <c r="K228"/>
  <c r="K249"/>
  <c r="M311" i="35"/>
  <c r="M290"/>
  <c r="T247" i="47"/>
  <c r="T226"/>
  <c r="G251" i="45"/>
  <c r="G230"/>
  <c r="O253"/>
  <c r="O232"/>
  <c r="W253"/>
  <c r="W232"/>
  <c r="Z226" i="46"/>
  <c r="Z247"/>
  <c r="J247" i="47"/>
  <c r="J226"/>
  <c r="O247"/>
  <c r="O226"/>
  <c r="M253" i="45"/>
  <c r="M232"/>
  <c r="Z253"/>
  <c r="Z232"/>
  <c r="J228" i="47"/>
  <c r="J249"/>
  <c r="M251" i="45"/>
  <c r="M230"/>
  <c r="F102" i="44"/>
  <c r="F204" s="1"/>
  <c r="AD105" i="45"/>
  <c r="Y226" i="46"/>
  <c r="Y247"/>
  <c r="V253" i="45"/>
  <c r="V232"/>
  <c r="Q247" i="47"/>
  <c r="Q226"/>
  <c r="I226"/>
  <c r="I247"/>
  <c r="T251" i="45"/>
  <c r="T230"/>
  <c r="K247" i="47"/>
  <c r="K226"/>
  <c r="H253" i="45"/>
  <c r="H232"/>
  <c r="H247" i="47"/>
  <c r="H226"/>
  <c r="F93" i="35"/>
  <c r="AD93" s="1"/>
  <c r="AD92"/>
  <c r="Z251" i="45"/>
  <c r="Z230"/>
  <c r="N249" i="47"/>
  <c r="N228"/>
  <c r="K228" i="46"/>
  <c r="K249"/>
  <c r="S249" i="47"/>
  <c r="S228"/>
  <c r="U311" i="35"/>
  <c r="U290"/>
  <c r="AD104" i="47"/>
  <c r="F105"/>
  <c r="AD105" s="1"/>
  <c r="O251" i="45"/>
  <c r="O230"/>
  <c r="W251"/>
  <c r="W230"/>
  <c r="J232"/>
  <c r="J253"/>
  <c r="R247" i="47"/>
  <c r="R226"/>
  <c r="W247"/>
  <c r="W226"/>
  <c r="AB253" i="45"/>
  <c r="AB232"/>
  <c r="R228" i="47"/>
  <c r="R249"/>
  <c r="F104" i="46"/>
  <c r="AD104" s="1"/>
  <c r="AD103"/>
  <c r="H209" i="45"/>
  <c r="F205" i="47"/>
  <c r="D205" s="1"/>
  <c r="AD156" i="35"/>
  <c r="V311"/>
  <c r="V290"/>
  <c r="Y247" i="47"/>
  <c r="Y226"/>
  <c r="I226" i="46"/>
  <c r="I247"/>
  <c r="N226" i="47"/>
  <c r="N247"/>
  <c r="K247" i="46"/>
  <c r="K226"/>
  <c r="S247" i="47"/>
  <c r="S226"/>
  <c r="Q253" i="45"/>
  <c r="Q232"/>
  <c r="G249" i="47"/>
  <c r="G228"/>
  <c r="AD98" i="46"/>
  <c r="AC251" i="45"/>
  <c r="AC230"/>
  <c r="I228" i="46"/>
  <c r="I249"/>
  <c r="V228" i="47"/>
  <c r="V249"/>
  <c r="S228" i="46"/>
  <c r="S249"/>
  <c r="AA228" i="47"/>
  <c r="AA249"/>
  <c r="U251" i="45"/>
  <c r="U230"/>
  <c r="F244" i="44"/>
  <c r="F223"/>
  <c r="R253" i="45"/>
  <c r="R232"/>
  <c r="Z247" i="47"/>
  <c r="Z226"/>
  <c r="O226" i="46"/>
  <c r="O247"/>
  <c r="F84" i="45"/>
  <c r="F209" s="1"/>
  <c r="AD83"/>
  <c r="R228" i="46"/>
  <c r="R249"/>
  <c r="Z249" i="47"/>
  <c r="Z228"/>
  <c r="Q251" i="45"/>
  <c r="Q230"/>
  <c r="F269" i="35"/>
  <c r="AD127"/>
  <c r="F109" i="47"/>
  <c r="F65" i="34"/>
  <c r="F68" s="1"/>
  <c r="AD64"/>
  <c r="AD46"/>
  <c r="G171"/>
  <c r="G192"/>
  <c r="AC191"/>
  <c r="AC170"/>
  <c r="F149"/>
  <c r="D149" s="1"/>
  <c r="AD68"/>
  <c r="H375" i="29"/>
  <c r="H354"/>
  <c r="I149"/>
  <c r="I153" s="1"/>
  <c r="E115" i="24"/>
  <c r="M108" i="29"/>
  <c r="M124" s="1"/>
  <c r="H114" i="24"/>
  <c r="I85" i="29"/>
  <c r="AA170" i="34"/>
  <c r="AA191"/>
  <c r="W170"/>
  <c r="W191"/>
  <c r="Y170"/>
  <c r="Y191"/>
  <c r="O170"/>
  <c r="O191"/>
  <c r="U170"/>
  <c r="U191"/>
  <c r="L170"/>
  <c r="L191"/>
  <c r="H170"/>
  <c r="H191"/>
  <c r="G174"/>
  <c r="G195"/>
  <c r="G296" i="35"/>
  <c r="N170" i="34"/>
  <c r="N191"/>
  <c r="P170"/>
  <c r="P191"/>
  <c r="Z170"/>
  <c r="Z191"/>
  <c r="V170"/>
  <c r="V191"/>
  <c r="I170"/>
  <c r="I191"/>
  <c r="K170"/>
  <c r="K191"/>
  <c r="J170"/>
  <c r="J191"/>
  <c r="F275" i="35"/>
  <c r="F246"/>
  <c r="S170" i="34"/>
  <c r="S191"/>
  <c r="M170"/>
  <c r="M191"/>
  <c r="AB170"/>
  <c r="AB191"/>
  <c r="X170"/>
  <c r="X191"/>
  <c r="Q170"/>
  <c r="Q191"/>
  <c r="R170"/>
  <c r="R191"/>
  <c r="G170"/>
  <c r="G191"/>
  <c r="T170"/>
  <c r="T191"/>
  <c r="L364" i="29"/>
  <c r="L363"/>
  <c r="L365"/>
  <c r="F351"/>
  <c r="F372"/>
  <c r="F153" i="34"/>
  <c r="D153" s="1"/>
  <c r="F296" i="35"/>
  <c r="L342" i="29"/>
  <c r="L343"/>
  <c r="L344"/>
  <c r="AD118" i="34"/>
  <c r="G77"/>
  <c r="G166"/>
  <c r="G354" i="29"/>
  <c r="O132" i="46"/>
  <c r="O138" s="1"/>
  <c r="O133" i="45"/>
  <c r="O139" s="1"/>
  <c r="O134" i="47"/>
  <c r="O140" s="1"/>
  <c r="AD96" i="29"/>
  <c r="G124" i="34"/>
  <c r="AD107"/>
  <c r="AD108"/>
  <c r="AD105"/>
  <c r="I201" i="29"/>
  <c r="I185"/>
  <c r="I187" s="1"/>
  <c r="M288"/>
  <c r="L310"/>
  <c r="I179"/>
  <c r="I155"/>
  <c r="F153"/>
  <c r="M290"/>
  <c r="L314"/>
  <c r="F222"/>
  <c r="AD130"/>
  <c r="F197"/>
  <c r="AD196"/>
  <c r="F187"/>
  <c r="K125"/>
  <c r="M101" i="31"/>
  <c r="L102"/>
  <c r="J41"/>
  <c r="M35" i="29" s="1"/>
  <c r="M21"/>
  <c r="M109" s="1"/>
  <c r="M125" s="1"/>
  <c r="K104" i="31"/>
  <c r="K17" s="1"/>
  <c r="N20" i="29" s="1"/>
  <c r="K108" i="31"/>
  <c r="K21" s="1"/>
  <c r="N24" i="29" s="1"/>
  <c r="N190" s="1"/>
  <c r="N192" s="1"/>
  <c r="K110" i="31"/>
  <c r="K23" s="1"/>
  <c r="N26" i="29" s="1"/>
  <c r="N195" s="1"/>
  <c r="K105" i="31"/>
  <c r="K18" s="1"/>
  <c r="K109"/>
  <c r="K22" s="1"/>
  <c r="N25" i="29" s="1"/>
  <c r="N112" s="1"/>
  <c r="N131" s="1"/>
  <c r="K106" i="31"/>
  <c r="K19" s="1"/>
  <c r="N22" i="29" s="1"/>
  <c r="N110" s="1"/>
  <c r="K107" i="31"/>
  <c r="K20" s="1"/>
  <c r="N23" i="29" s="1"/>
  <c r="N111" s="1"/>
  <c r="N126" s="1"/>
  <c r="I266"/>
  <c r="I264"/>
  <c r="K131"/>
  <c r="H131"/>
  <c r="H132" s="1"/>
  <c r="G131"/>
  <c r="G132" s="1"/>
  <c r="M131"/>
  <c r="I131"/>
  <c r="I132" s="1"/>
  <c r="J131"/>
  <c r="J132" s="1"/>
  <c r="L131"/>
  <c r="L132" s="1"/>
  <c r="H97"/>
  <c r="H98" s="1"/>
  <c r="H186"/>
  <c r="H187" s="1"/>
  <c r="G97"/>
  <c r="G98" s="1"/>
  <c r="G186"/>
  <c r="G187" s="1"/>
  <c r="AB47" i="34"/>
  <c r="AB48" s="1"/>
  <c r="X47"/>
  <c r="X48" s="1"/>
  <c r="Q47"/>
  <c r="Q48" s="1"/>
  <c r="R47"/>
  <c r="R48" s="1"/>
  <c r="L47"/>
  <c r="L48" s="1"/>
  <c r="H47"/>
  <c r="H48" s="1"/>
  <c r="AC47"/>
  <c r="AC48" s="1"/>
  <c r="Y47"/>
  <c r="Y48" s="1"/>
  <c r="O47"/>
  <c r="O48" s="1"/>
  <c r="U47"/>
  <c r="U48" s="1"/>
  <c r="K47"/>
  <c r="K48" s="1"/>
  <c r="J47"/>
  <c r="J48" s="1"/>
  <c r="Z47"/>
  <c r="Z48" s="1"/>
  <c r="V47"/>
  <c r="V48" s="1"/>
  <c r="I47"/>
  <c r="I48" s="1"/>
  <c r="W47"/>
  <c r="W48" s="1"/>
  <c r="M47"/>
  <c r="M48" s="1"/>
  <c r="P47"/>
  <c r="P48" s="1"/>
  <c r="AA47"/>
  <c r="AA48" s="1"/>
  <c r="S47"/>
  <c r="S48" s="1"/>
  <c r="N47"/>
  <c r="N48" s="1"/>
  <c r="G47"/>
  <c r="T47"/>
  <c r="T48" s="1"/>
  <c r="F47"/>
  <c r="F48" s="1"/>
  <c r="I88" i="29"/>
  <c r="F42" i="31"/>
  <c r="F43"/>
  <c r="I11" i="29"/>
  <c r="F40" i="31"/>
  <c r="I34" i="29" s="1"/>
  <c r="F98"/>
  <c r="F131"/>
  <c r="C85" i="9"/>
  <c r="D21" i="10"/>
  <c r="C91" i="9"/>
  <c r="C98" s="1"/>
  <c r="G21" i="7"/>
  <c r="B21" s="1"/>
  <c r="D9" i="10"/>
  <c r="D11"/>
  <c r="E11" s="1"/>
  <c r="F11" s="1"/>
  <c r="G11" s="1"/>
  <c r="H11" s="1"/>
  <c r="I11" s="1"/>
  <c r="J11" s="1"/>
  <c r="K11" s="1"/>
  <c r="L11" s="1"/>
  <c r="D10"/>
  <c r="E10" s="1"/>
  <c r="F10" s="1"/>
  <c r="G10" s="1"/>
  <c r="H10" s="1"/>
  <c r="I10" s="1"/>
  <c r="J10" s="1"/>
  <c r="K10" s="1"/>
  <c r="L10" s="1"/>
  <c r="D14"/>
  <c r="N9"/>
  <c r="N11"/>
  <c r="O11" s="1"/>
  <c r="P11" s="1"/>
  <c r="Q11" s="1"/>
  <c r="R11" s="1"/>
  <c r="S11" s="1"/>
  <c r="T11" s="1"/>
  <c r="U11" s="1"/>
  <c r="V11" s="1"/>
  <c r="N10"/>
  <c r="O10" s="1"/>
  <c r="P10" s="1"/>
  <c r="Q10" s="1"/>
  <c r="R10" s="1"/>
  <c r="S10" s="1"/>
  <c r="T10" s="1"/>
  <c r="U10" s="1"/>
  <c r="V10" s="1"/>
  <c r="N14"/>
  <c r="B18" i="7"/>
  <c r="C104" i="9"/>
  <c r="D4" i="10"/>
  <c r="D5"/>
  <c r="E5" s="1"/>
  <c r="F5" s="1"/>
  <c r="G5" s="1"/>
  <c r="H5" s="1"/>
  <c r="I5" s="1"/>
  <c r="J5" s="1"/>
  <c r="K5" s="1"/>
  <c r="L5" s="1"/>
  <c r="D18"/>
  <c r="E18" s="1"/>
  <c r="F18" s="1"/>
  <c r="G18" s="1"/>
  <c r="H18" s="1"/>
  <c r="I18" s="1"/>
  <c r="J18" s="1"/>
  <c r="K18" s="1"/>
  <c r="L18" s="1"/>
  <c r="D19"/>
  <c r="E19" s="1"/>
  <c r="F19" s="1"/>
  <c r="G19" s="1"/>
  <c r="H19" s="1"/>
  <c r="I19" s="1"/>
  <c r="J19" s="1"/>
  <c r="K19" s="1"/>
  <c r="L19" s="1"/>
  <c r="N4"/>
  <c r="N5"/>
  <c r="O5" s="1"/>
  <c r="P5" s="1"/>
  <c r="Q5" s="1"/>
  <c r="R5" s="1"/>
  <c r="S5" s="1"/>
  <c r="T5" s="1"/>
  <c r="U5" s="1"/>
  <c r="V5" s="1"/>
  <c r="N18"/>
  <c r="O18" s="1"/>
  <c r="P18" s="1"/>
  <c r="Q18" s="1"/>
  <c r="R18" s="1"/>
  <c r="S18" s="1"/>
  <c r="T18" s="1"/>
  <c r="U18" s="1"/>
  <c r="V18" s="1"/>
  <c r="N19"/>
  <c r="O19" s="1"/>
  <c r="P19" s="1"/>
  <c r="Q19" s="1"/>
  <c r="R19" s="1"/>
  <c r="S19" s="1"/>
  <c r="T19" s="1"/>
  <c r="U19" s="1"/>
  <c r="V19" s="1"/>
  <c r="N21"/>
  <c r="D21" i="7"/>
  <c r="D13"/>
  <c r="C13"/>
  <c r="B13"/>
  <c r="AD65" i="34" l="1"/>
  <c r="I171" i="29"/>
  <c r="I172" s="1"/>
  <c r="F107" i="46"/>
  <c r="AD107" s="1"/>
  <c r="F205"/>
  <c r="D205" s="1"/>
  <c r="F211" i="45"/>
  <c r="AD108"/>
  <c r="F207" i="47"/>
  <c r="AD109"/>
  <c r="AD84" i="45"/>
  <c r="H230"/>
  <c r="H251"/>
  <c r="F311" i="35"/>
  <c r="D311" s="1"/>
  <c r="G34" i="24" s="1"/>
  <c r="F290" i="35"/>
  <c r="D290" s="1"/>
  <c r="G13" i="24" s="1"/>
  <c r="D269" i="35"/>
  <c r="F251" i="45"/>
  <c r="F230"/>
  <c r="D209"/>
  <c r="F247" i="47"/>
  <c r="F226"/>
  <c r="D226" s="1"/>
  <c r="B13" i="24" s="1"/>
  <c r="F246" i="44"/>
  <c r="F225"/>
  <c r="P131" i="45"/>
  <c r="P137" s="1"/>
  <c r="P130" i="46"/>
  <c r="P136" s="1"/>
  <c r="P132" i="47"/>
  <c r="P138" s="1"/>
  <c r="E4" i="10"/>
  <c r="F130" i="46"/>
  <c r="F125" i="44"/>
  <c r="F131" s="1"/>
  <c r="F132" i="47"/>
  <c r="F131" i="45"/>
  <c r="F229" i="29"/>
  <c r="F235" s="1"/>
  <c r="F84" i="34"/>
  <c r="F90" s="1"/>
  <c r="F193" i="35"/>
  <c r="F199" s="1"/>
  <c r="O9" i="10"/>
  <c r="P83" i="34"/>
  <c r="E9" i="10"/>
  <c r="F131" i="47"/>
  <c r="F137" s="1"/>
  <c r="F129" i="46"/>
  <c r="F135" s="1"/>
  <c r="F228" i="29"/>
  <c r="F234" s="1"/>
  <c r="F124" i="44"/>
  <c r="F130" s="1"/>
  <c r="F135" s="1"/>
  <c r="F192" i="35"/>
  <c r="F198" s="1"/>
  <c r="F203" s="1"/>
  <c r="F130" i="45"/>
  <c r="F136" s="1"/>
  <c r="F141" s="1"/>
  <c r="F83" i="34"/>
  <c r="F191"/>
  <c r="F170"/>
  <c r="D170" s="1"/>
  <c r="H15" i="24" s="1"/>
  <c r="G48" i="34"/>
  <c r="AD48" s="1"/>
  <c r="AD47"/>
  <c r="N108" i="29"/>
  <c r="N124" s="1"/>
  <c r="I114" i="24"/>
  <c r="F317" i="35"/>
  <c r="D145" i="45"/>
  <c r="D146" i="47"/>
  <c r="D144" i="46"/>
  <c r="D139" i="44"/>
  <c r="D207" i="35"/>
  <c r="D98" i="34"/>
  <c r="D243" i="29"/>
  <c r="C165" i="9"/>
  <c r="C154"/>
  <c r="D191" i="34"/>
  <c r="H36" i="24" s="1"/>
  <c r="F131" i="46"/>
  <c r="F132" i="45"/>
  <c r="F126" i="44"/>
  <c r="F133" i="47"/>
  <c r="M132" i="29"/>
  <c r="P132" i="45"/>
  <c r="P138" s="1"/>
  <c r="P131" i="46"/>
  <c r="P137" s="1"/>
  <c r="P133" i="47"/>
  <c r="P139" s="1"/>
  <c r="F174" i="34"/>
  <c r="F195"/>
  <c r="D195" s="1"/>
  <c r="H40" i="24" s="1"/>
  <c r="M365" i="29"/>
  <c r="M364"/>
  <c r="M363"/>
  <c r="F354"/>
  <c r="F375"/>
  <c r="G147" i="34"/>
  <c r="P147"/>
  <c r="V147"/>
  <c r="U147"/>
  <c r="H147"/>
  <c r="X147"/>
  <c r="T147"/>
  <c r="AA147"/>
  <c r="I147"/>
  <c r="K147"/>
  <c r="AC147"/>
  <c r="Q147"/>
  <c r="F147"/>
  <c r="S147"/>
  <c r="W147"/>
  <c r="J147"/>
  <c r="Y147"/>
  <c r="R147"/>
  <c r="N147"/>
  <c r="M147"/>
  <c r="Z147"/>
  <c r="O147"/>
  <c r="L147"/>
  <c r="AB147"/>
  <c r="M344" i="29"/>
  <c r="M342"/>
  <c r="M343"/>
  <c r="F86" i="34"/>
  <c r="F92" s="1"/>
  <c r="F127" i="44"/>
  <c r="F134" i="47"/>
  <c r="F132" i="46"/>
  <c r="F133" i="45"/>
  <c r="F195" i="35"/>
  <c r="F201" s="1"/>
  <c r="P132" i="46"/>
  <c r="P138" s="1"/>
  <c r="P133" i="45"/>
  <c r="P139" s="1"/>
  <c r="P134" i="47"/>
  <c r="P140" s="1"/>
  <c r="I204" i="29"/>
  <c r="H299"/>
  <c r="H307" s="1"/>
  <c r="H311" s="1"/>
  <c r="I182"/>
  <c r="AD236" i="35"/>
  <c r="AD235"/>
  <c r="I203" i="29"/>
  <c r="I181"/>
  <c r="AD234" i="35"/>
  <c r="AD233"/>
  <c r="F44" i="31"/>
  <c r="G299" i="29"/>
  <c r="G307" s="1"/>
  <c r="G315" s="1"/>
  <c r="F230"/>
  <c r="F236" s="1"/>
  <c r="F194" i="35"/>
  <c r="F85" i="34"/>
  <c r="F91" s="1"/>
  <c r="K132" i="29"/>
  <c r="F124" i="34"/>
  <c r="AD124" s="1"/>
  <c r="AD106"/>
  <c r="I97" i="29"/>
  <c r="I98" s="1"/>
  <c r="N288"/>
  <c r="M310"/>
  <c r="I267"/>
  <c r="N290"/>
  <c r="M314"/>
  <c r="I164"/>
  <c r="AD186"/>
  <c r="F132"/>
  <c r="F299" s="1"/>
  <c r="F307" s="1"/>
  <c r="I265"/>
  <c r="I188"/>
  <c r="N101" i="31"/>
  <c r="M102"/>
  <c r="L105"/>
  <c r="L18" s="1"/>
  <c r="L104"/>
  <c r="L17" s="1"/>
  <c r="O20" i="29" s="1"/>
  <c r="L109" i="31"/>
  <c r="L22" s="1"/>
  <c r="L110"/>
  <c r="L23" s="1"/>
  <c r="O26" i="29" s="1"/>
  <c r="O195" s="1"/>
  <c r="O197" s="1"/>
  <c r="L107" i="31"/>
  <c r="L20" s="1"/>
  <c r="O23" i="29" s="1"/>
  <c r="O111" s="1"/>
  <c r="O126" s="1"/>
  <c r="L108" i="31"/>
  <c r="L21" s="1"/>
  <c r="L106"/>
  <c r="L19" s="1"/>
  <c r="O22" i="29" s="1"/>
  <c r="O110" s="1"/>
  <c r="N21"/>
  <c r="K41" i="31"/>
  <c r="N35" i="29" s="1"/>
  <c r="I252"/>
  <c r="I250"/>
  <c r="I61"/>
  <c r="H197"/>
  <c r="L197"/>
  <c r="K197"/>
  <c r="J197"/>
  <c r="I197"/>
  <c r="M197"/>
  <c r="N197"/>
  <c r="M72" i="34"/>
  <c r="M74" s="1"/>
  <c r="M150" s="1"/>
  <c r="K72"/>
  <c r="K74" s="1"/>
  <c r="K150" s="1"/>
  <c r="N72"/>
  <c r="N74" s="1"/>
  <c r="N150" s="1"/>
  <c r="O84"/>
  <c r="O86"/>
  <c r="O92" s="1"/>
  <c r="O85"/>
  <c r="O91" s="1"/>
  <c r="O72"/>
  <c r="O74" s="1"/>
  <c r="O150" s="1"/>
  <c r="J72"/>
  <c r="J74" s="1"/>
  <c r="J150" s="1"/>
  <c r="I72"/>
  <c r="L72"/>
  <c r="L74" s="1"/>
  <c r="L150" s="1"/>
  <c r="I36" i="29"/>
  <c r="I43"/>
  <c r="I37"/>
  <c r="I232" s="1"/>
  <c r="I104"/>
  <c r="E21" i="10"/>
  <c r="F231" i="29"/>
  <c r="C87" i="9"/>
  <c r="C95" s="1"/>
  <c r="D134" i="35" s="1"/>
  <c r="O14" i="10"/>
  <c r="E14"/>
  <c r="F4"/>
  <c r="O21"/>
  <c r="O4"/>
  <c r="F9"/>
  <c r="D230" i="45" l="1"/>
  <c r="D13" i="24" s="1"/>
  <c r="I238" i="29"/>
  <c r="F207" i="46"/>
  <c r="F228" s="1"/>
  <c r="D228" s="1"/>
  <c r="E15" i="24" s="1"/>
  <c r="F247" i="46"/>
  <c r="F226"/>
  <c r="D226" s="1"/>
  <c r="E13" i="24" s="1"/>
  <c r="F249" i="47"/>
  <c r="F228"/>
  <c r="D228" s="1"/>
  <c r="B15" i="24" s="1"/>
  <c r="D207" i="47"/>
  <c r="F253" i="45"/>
  <c r="F232"/>
  <c r="D232" s="1"/>
  <c r="D15" i="24" s="1"/>
  <c r="D211" i="45"/>
  <c r="D137" i="35"/>
  <c r="D138"/>
  <c r="D136"/>
  <c r="D135"/>
  <c r="D139"/>
  <c r="F89" i="34"/>
  <c r="F151" s="1"/>
  <c r="F136" i="46"/>
  <c r="F140" s="1"/>
  <c r="Q131" i="45"/>
  <c r="Q137" s="1"/>
  <c r="Q132" i="47"/>
  <c r="Q138" s="1"/>
  <c r="Q130" i="46"/>
  <c r="Q136" s="1"/>
  <c r="G131" i="47"/>
  <c r="G137" s="1"/>
  <c r="G192" i="35"/>
  <c r="G198" s="1"/>
  <c r="G203" s="1"/>
  <c r="G228" i="29"/>
  <c r="G234" s="1"/>
  <c r="G129" i="46"/>
  <c r="G135" s="1"/>
  <c r="G124" i="44"/>
  <c r="G130" s="1"/>
  <c r="G135" s="1"/>
  <c r="G130" i="45"/>
  <c r="G136" s="1"/>
  <c r="G83" i="34"/>
  <c r="G89" s="1"/>
  <c r="F138" i="47"/>
  <c r="H83" i="34"/>
  <c r="H89" s="1"/>
  <c r="H129" i="46"/>
  <c r="H135" s="1"/>
  <c r="H228" i="29"/>
  <c r="H234" s="1"/>
  <c r="H124" i="44"/>
  <c r="H130" s="1"/>
  <c r="H135" s="1"/>
  <c r="H192" i="35"/>
  <c r="H198" s="1"/>
  <c r="H130" i="45"/>
  <c r="H136" s="1"/>
  <c r="H131" i="47"/>
  <c r="H137" s="1"/>
  <c r="H130" i="46"/>
  <c r="H136" s="1"/>
  <c r="H131" i="45"/>
  <c r="H137" s="1"/>
  <c r="H132" i="47"/>
  <c r="H138" s="1"/>
  <c r="H193" i="35"/>
  <c r="H199" s="1"/>
  <c r="H84" i="34"/>
  <c r="H90" s="1"/>
  <c r="H229" i="29"/>
  <c r="H235" s="1"/>
  <c r="P9" i="10"/>
  <c r="Q83" i="34"/>
  <c r="F137" i="45"/>
  <c r="G131"/>
  <c r="G137" s="1"/>
  <c r="G130" i="46"/>
  <c r="G136" s="1"/>
  <c r="G132" i="47"/>
  <c r="G138" s="1"/>
  <c r="G193" i="35"/>
  <c r="G199" s="1"/>
  <c r="G84" i="34"/>
  <c r="G90" s="1"/>
  <c r="G229" i="29"/>
  <c r="G235" s="1"/>
  <c r="I74" i="34"/>
  <c r="D147"/>
  <c r="O108" i="29"/>
  <c r="O124" s="1"/>
  <c r="J114" i="24"/>
  <c r="B63" s="1"/>
  <c r="F208" i="35"/>
  <c r="G208"/>
  <c r="G274" s="1"/>
  <c r="N208"/>
  <c r="N274" s="1"/>
  <c r="L208"/>
  <c r="L274" s="1"/>
  <c r="AC208"/>
  <c r="AC274" s="1"/>
  <c r="J208"/>
  <c r="J274" s="1"/>
  <c r="V208"/>
  <c r="V274" s="1"/>
  <c r="O208"/>
  <c r="O274" s="1"/>
  <c r="S208"/>
  <c r="S274" s="1"/>
  <c r="Q208"/>
  <c r="Q274" s="1"/>
  <c r="X208"/>
  <c r="X274" s="1"/>
  <c r="AA208"/>
  <c r="AA274" s="1"/>
  <c r="AB208"/>
  <c r="AB274" s="1"/>
  <c r="H208"/>
  <c r="H274" s="1"/>
  <c r="M208"/>
  <c r="M274" s="1"/>
  <c r="R208"/>
  <c r="R274" s="1"/>
  <c r="W208"/>
  <c r="W274" s="1"/>
  <c r="P208"/>
  <c r="P274" s="1"/>
  <c r="Y208"/>
  <c r="Y274" s="1"/>
  <c r="I208"/>
  <c r="I274" s="1"/>
  <c r="U208"/>
  <c r="U274" s="1"/>
  <c r="T208"/>
  <c r="T274" s="1"/>
  <c r="K208"/>
  <c r="K274" s="1"/>
  <c r="Z208"/>
  <c r="Z274" s="1"/>
  <c r="AA146" i="45"/>
  <c r="AA214" s="1"/>
  <c r="F146"/>
  <c r="Q146"/>
  <c r="Q214" s="1"/>
  <c r="I146"/>
  <c r="I214" s="1"/>
  <c r="M146"/>
  <c r="M214" s="1"/>
  <c r="N146"/>
  <c r="N214" s="1"/>
  <c r="K146"/>
  <c r="K214" s="1"/>
  <c r="W146"/>
  <c r="W214" s="1"/>
  <c r="Y146"/>
  <c r="Y214" s="1"/>
  <c r="S146"/>
  <c r="S214" s="1"/>
  <c r="R146"/>
  <c r="R214" s="1"/>
  <c r="V146"/>
  <c r="V214" s="1"/>
  <c r="P146"/>
  <c r="P214" s="1"/>
  <c r="AB146"/>
  <c r="AB214" s="1"/>
  <c r="G146"/>
  <c r="G214" s="1"/>
  <c r="X146"/>
  <c r="X214" s="1"/>
  <c r="T146"/>
  <c r="T214" s="1"/>
  <c r="Z146"/>
  <c r="Z214" s="1"/>
  <c r="U146"/>
  <c r="U214" s="1"/>
  <c r="O146"/>
  <c r="O214" s="1"/>
  <c r="L146"/>
  <c r="L214" s="1"/>
  <c r="AC146"/>
  <c r="AC214" s="1"/>
  <c r="H146"/>
  <c r="H214" s="1"/>
  <c r="J146"/>
  <c r="J214" s="1"/>
  <c r="H99" i="34"/>
  <c r="H152" s="1"/>
  <c r="G99"/>
  <c r="F99"/>
  <c r="F152" s="1"/>
  <c r="J99"/>
  <c r="J152" s="1"/>
  <c r="K99"/>
  <c r="K152" s="1"/>
  <c r="I99"/>
  <c r="I152" s="1"/>
  <c r="L99"/>
  <c r="L152" s="1"/>
  <c r="M99"/>
  <c r="M152" s="1"/>
  <c r="N99"/>
  <c r="N152" s="1"/>
  <c r="O99"/>
  <c r="O152" s="1"/>
  <c r="P99"/>
  <c r="P152" s="1"/>
  <c r="Q99"/>
  <c r="Q152" s="1"/>
  <c r="R99"/>
  <c r="R152" s="1"/>
  <c r="S99"/>
  <c r="S152" s="1"/>
  <c r="T99"/>
  <c r="T152" s="1"/>
  <c r="U99"/>
  <c r="U152" s="1"/>
  <c r="V99"/>
  <c r="V152" s="1"/>
  <c r="W99"/>
  <c r="W152" s="1"/>
  <c r="X99"/>
  <c r="X152" s="1"/>
  <c r="Y99"/>
  <c r="Y152" s="1"/>
  <c r="Z99"/>
  <c r="Z152" s="1"/>
  <c r="AA99"/>
  <c r="AA152" s="1"/>
  <c r="AB99"/>
  <c r="AB152" s="1"/>
  <c r="AC99"/>
  <c r="AC152" s="1"/>
  <c r="G147" i="47"/>
  <c r="G210" s="1"/>
  <c r="F147"/>
  <c r="I147"/>
  <c r="I210" s="1"/>
  <c r="N147"/>
  <c r="N210" s="1"/>
  <c r="W147"/>
  <c r="W210" s="1"/>
  <c r="H147"/>
  <c r="H210" s="1"/>
  <c r="K147"/>
  <c r="K210" s="1"/>
  <c r="Q147"/>
  <c r="Q210" s="1"/>
  <c r="M147"/>
  <c r="M210" s="1"/>
  <c r="J147"/>
  <c r="J210" s="1"/>
  <c r="S147"/>
  <c r="S210" s="1"/>
  <c r="AB147"/>
  <c r="AB210" s="1"/>
  <c r="L147"/>
  <c r="L210" s="1"/>
  <c r="X147"/>
  <c r="X210" s="1"/>
  <c r="T147"/>
  <c r="T210" s="1"/>
  <c r="V147"/>
  <c r="V210" s="1"/>
  <c r="P147"/>
  <c r="P210" s="1"/>
  <c r="AA147"/>
  <c r="AA210" s="1"/>
  <c r="Z147"/>
  <c r="Z210" s="1"/>
  <c r="Y147"/>
  <c r="Y210" s="1"/>
  <c r="R147"/>
  <c r="R210" s="1"/>
  <c r="U147"/>
  <c r="U210" s="1"/>
  <c r="AC147"/>
  <c r="AC210" s="1"/>
  <c r="O147"/>
  <c r="O210" s="1"/>
  <c r="G244" i="29"/>
  <c r="G332" s="1"/>
  <c r="F244"/>
  <c r="F332" s="1"/>
  <c r="H244"/>
  <c r="H332" s="1"/>
  <c r="I244"/>
  <c r="I332" s="1"/>
  <c r="Y145" i="46"/>
  <c r="Y210" s="1"/>
  <c r="I145"/>
  <c r="I210" s="1"/>
  <c r="N145"/>
  <c r="N210" s="1"/>
  <c r="W145"/>
  <c r="W210" s="1"/>
  <c r="G145"/>
  <c r="G210" s="1"/>
  <c r="P145"/>
  <c r="P210" s="1"/>
  <c r="AC145"/>
  <c r="AC210" s="1"/>
  <c r="M145"/>
  <c r="M210" s="1"/>
  <c r="R145"/>
  <c r="R210" s="1"/>
  <c r="AA145"/>
  <c r="AA210" s="1"/>
  <c r="K145"/>
  <c r="K210" s="1"/>
  <c r="T145"/>
  <c r="T210" s="1"/>
  <c r="Q145"/>
  <c r="Q210" s="1"/>
  <c r="V145"/>
  <c r="V210" s="1"/>
  <c r="F145"/>
  <c r="O145"/>
  <c r="O210" s="1"/>
  <c r="X145"/>
  <c r="X210" s="1"/>
  <c r="H145"/>
  <c r="H210" s="1"/>
  <c r="U145"/>
  <c r="U210" s="1"/>
  <c r="Z145"/>
  <c r="Z210" s="1"/>
  <c r="J145"/>
  <c r="J210" s="1"/>
  <c r="S145"/>
  <c r="S210" s="1"/>
  <c r="AB145"/>
  <c r="AB210" s="1"/>
  <c r="L145"/>
  <c r="L210" s="1"/>
  <c r="F140" i="44"/>
  <c r="F207" s="1"/>
  <c r="L171" i="34"/>
  <c r="L192"/>
  <c r="L168"/>
  <c r="L189"/>
  <c r="AC168"/>
  <c r="AC189"/>
  <c r="F137" i="46"/>
  <c r="J171" i="34"/>
  <c r="J192"/>
  <c r="K171"/>
  <c r="K192"/>
  <c r="AB168"/>
  <c r="AB189"/>
  <c r="M168"/>
  <c r="M189"/>
  <c r="J168"/>
  <c r="J189"/>
  <c r="Q168"/>
  <c r="Q189"/>
  <c r="AA168"/>
  <c r="AA189"/>
  <c r="U168"/>
  <c r="U189"/>
  <c r="F138" i="45"/>
  <c r="N168" i="34"/>
  <c r="N189"/>
  <c r="W168"/>
  <c r="W189"/>
  <c r="V168"/>
  <c r="V189"/>
  <c r="M171"/>
  <c r="M192"/>
  <c r="Z168"/>
  <c r="Z189"/>
  <c r="Y168"/>
  <c r="Y189"/>
  <c r="F168"/>
  <c r="F189"/>
  <c r="I168"/>
  <c r="I189"/>
  <c r="H168"/>
  <c r="H189"/>
  <c r="G168"/>
  <c r="G189"/>
  <c r="F132" i="44"/>
  <c r="G131" i="46"/>
  <c r="G137" s="1"/>
  <c r="G132" i="45"/>
  <c r="G138" s="1"/>
  <c r="G133" i="47"/>
  <c r="G139" s="1"/>
  <c r="T168" i="34"/>
  <c r="T189"/>
  <c r="Q132" i="45"/>
  <c r="Q138" s="1"/>
  <c r="Q131" i="46"/>
  <c r="Q137" s="1"/>
  <c r="Q133" i="47"/>
  <c r="Q139" s="1"/>
  <c r="O171" i="34"/>
  <c r="O192"/>
  <c r="N171"/>
  <c r="N192"/>
  <c r="O168"/>
  <c r="O189"/>
  <c r="R168"/>
  <c r="R189"/>
  <c r="S168"/>
  <c r="S189"/>
  <c r="K168"/>
  <c r="K189"/>
  <c r="X168"/>
  <c r="X189"/>
  <c r="P168"/>
  <c r="P189"/>
  <c r="F139" i="47"/>
  <c r="N365" i="29"/>
  <c r="N364"/>
  <c r="N363"/>
  <c r="N342"/>
  <c r="N343"/>
  <c r="N344"/>
  <c r="O90" i="34"/>
  <c r="H315" i="29"/>
  <c r="G311"/>
  <c r="F133" i="44"/>
  <c r="F140" i="47"/>
  <c r="Q134"/>
  <c r="Q140" s="1"/>
  <c r="Q133" i="45"/>
  <c r="Q139" s="1"/>
  <c r="Q132" i="46"/>
  <c r="Q138" s="1"/>
  <c r="F138"/>
  <c r="G133" i="45"/>
  <c r="G139" s="1"/>
  <c r="G134" i="47"/>
  <c r="G140" s="1"/>
  <c r="G132" i="46"/>
  <c r="G138" s="1"/>
  <c r="G195" i="35"/>
  <c r="G201" s="1"/>
  <c r="F139" i="45"/>
  <c r="O24" i="29"/>
  <c r="F200" i="35"/>
  <c r="M239"/>
  <c r="M240" s="1"/>
  <c r="M243"/>
  <c r="M244" s="1"/>
  <c r="M174"/>
  <c r="M241"/>
  <c r="M242" s="1"/>
  <c r="L239"/>
  <c r="L240" s="1"/>
  <c r="L241"/>
  <c r="L242" s="1"/>
  <c r="L243"/>
  <c r="L244" s="1"/>
  <c r="L174"/>
  <c r="J239"/>
  <c r="J240" s="1"/>
  <c r="J241"/>
  <c r="J242" s="1"/>
  <c r="J243"/>
  <c r="J244" s="1"/>
  <c r="J174"/>
  <c r="I185"/>
  <c r="K239"/>
  <c r="K240" s="1"/>
  <c r="K241"/>
  <c r="K242" s="1"/>
  <c r="K243"/>
  <c r="K244" s="1"/>
  <c r="K174"/>
  <c r="G230" i="29"/>
  <c r="G236" s="1"/>
  <c r="G194" i="35"/>
  <c r="G200" s="1"/>
  <c r="G85" i="34"/>
  <c r="G91" s="1"/>
  <c r="N239" i="35"/>
  <c r="N240" s="1"/>
  <c r="N241"/>
  <c r="N242" s="1"/>
  <c r="N243"/>
  <c r="N244" s="1"/>
  <c r="N174"/>
  <c r="I174"/>
  <c r="I239"/>
  <c r="I243"/>
  <c r="I241"/>
  <c r="I70" i="29"/>
  <c r="I165"/>
  <c r="O288"/>
  <c r="N310"/>
  <c r="F311"/>
  <c r="F315"/>
  <c r="O290"/>
  <c r="N314"/>
  <c r="F237"/>
  <c r="F239" s="1"/>
  <c r="I105"/>
  <c r="O25"/>
  <c r="O112" s="1"/>
  <c r="O131" s="1"/>
  <c r="N102" i="31"/>
  <c r="O101"/>
  <c r="M110"/>
  <c r="M23" s="1"/>
  <c r="P26" i="29" s="1"/>
  <c r="P195" s="1"/>
  <c r="P197" s="1"/>
  <c r="M104" i="31"/>
  <c r="M17" s="1"/>
  <c r="P20" i="29" s="1"/>
  <c r="M109" i="31"/>
  <c r="M22" s="1"/>
  <c r="M105"/>
  <c r="M18" s="1"/>
  <c r="M106"/>
  <c r="M19" s="1"/>
  <c r="P22" i="29" s="1"/>
  <c r="P110" s="1"/>
  <c r="M108" i="31"/>
  <c r="M21" s="1"/>
  <c r="M107"/>
  <c r="M20" s="1"/>
  <c r="P23" i="29" s="1"/>
  <c r="N109"/>
  <c r="N125" s="1"/>
  <c r="O21"/>
  <c r="L41" i="31"/>
  <c r="O35" i="29" s="1"/>
  <c r="I280"/>
  <c r="I278"/>
  <c r="I276"/>
  <c r="I251"/>
  <c r="I253"/>
  <c r="G231"/>
  <c r="G237" s="1"/>
  <c r="G86" i="34"/>
  <c r="G92" s="1"/>
  <c r="F21" i="10"/>
  <c r="I77" i="29"/>
  <c r="O89" i="34"/>
  <c r="O94" s="1"/>
  <c r="P85"/>
  <c r="P91" s="1"/>
  <c r="P86"/>
  <c r="P92" s="1"/>
  <c r="P72"/>
  <c r="P74" s="1"/>
  <c r="P84"/>
  <c r="L76"/>
  <c r="L77" s="1"/>
  <c r="I38" i="29"/>
  <c r="I76" i="34"/>
  <c r="M76"/>
  <c r="M77" s="1"/>
  <c r="O76"/>
  <c r="O77" s="1"/>
  <c r="I210" i="29"/>
  <c r="J76" i="34"/>
  <c r="J77" s="1"/>
  <c r="K76"/>
  <c r="K77" s="1"/>
  <c r="N76"/>
  <c r="N77" s="1"/>
  <c r="P14" i="10"/>
  <c r="F14"/>
  <c r="G9"/>
  <c r="I83" i="34" s="1"/>
  <c r="I89" s="1"/>
  <c r="P4" i="10"/>
  <c r="G21"/>
  <c r="I195" i="35" s="1"/>
  <c r="P21" i="10"/>
  <c r="G4"/>
  <c r="G141" i="45" l="1"/>
  <c r="F142" i="47"/>
  <c r="G142"/>
  <c r="G140" i="46"/>
  <c r="G239" i="29"/>
  <c r="G331" s="1"/>
  <c r="F249" i="46"/>
  <c r="D207"/>
  <c r="H136" i="35"/>
  <c r="F136"/>
  <c r="G136"/>
  <c r="J136"/>
  <c r="I136"/>
  <c r="K136"/>
  <c r="L136"/>
  <c r="M136"/>
  <c r="N136"/>
  <c r="O136"/>
  <c r="P136"/>
  <c r="R136"/>
  <c r="Q136"/>
  <c r="S136"/>
  <c r="T136"/>
  <c r="U136"/>
  <c r="V136"/>
  <c r="W136"/>
  <c r="X136"/>
  <c r="Y136"/>
  <c r="Z136"/>
  <c r="AA136"/>
  <c r="AB136"/>
  <c r="AC136"/>
  <c r="M135"/>
  <c r="L135"/>
  <c r="J135"/>
  <c r="F135"/>
  <c r="D162"/>
  <c r="K135"/>
  <c r="H135"/>
  <c r="I135"/>
  <c r="G135"/>
  <c r="N135"/>
  <c r="O135"/>
  <c r="P135"/>
  <c r="Q135"/>
  <c r="R135"/>
  <c r="S135"/>
  <c r="T135"/>
  <c r="U135"/>
  <c r="V135"/>
  <c r="W135"/>
  <c r="X135"/>
  <c r="Y135"/>
  <c r="Z135"/>
  <c r="AA135"/>
  <c r="AB135"/>
  <c r="AC135"/>
  <c r="J139"/>
  <c r="L139"/>
  <c r="H139"/>
  <c r="D167"/>
  <c r="I139"/>
  <c r="F139"/>
  <c r="M139"/>
  <c r="K139"/>
  <c r="G139"/>
  <c r="N139"/>
  <c r="O139"/>
  <c r="P139"/>
  <c r="R139"/>
  <c r="Q139"/>
  <c r="S139"/>
  <c r="T139"/>
  <c r="U139"/>
  <c r="V139"/>
  <c r="W139"/>
  <c r="X139"/>
  <c r="Y139"/>
  <c r="Z139"/>
  <c r="AA139"/>
  <c r="AB139"/>
  <c r="AC139"/>
  <c r="I137"/>
  <c r="L137"/>
  <c r="K137"/>
  <c r="G137"/>
  <c r="F137"/>
  <c r="H137"/>
  <c r="J137"/>
  <c r="N137"/>
  <c r="M137"/>
  <c r="O137"/>
  <c r="P137"/>
  <c r="Q137"/>
  <c r="R137"/>
  <c r="S137"/>
  <c r="T137"/>
  <c r="U137"/>
  <c r="V137"/>
  <c r="W137"/>
  <c r="X137"/>
  <c r="Y137"/>
  <c r="Z137"/>
  <c r="AA137"/>
  <c r="AB137"/>
  <c r="AC137"/>
  <c r="L138"/>
  <c r="J138"/>
  <c r="K138"/>
  <c r="F138"/>
  <c r="H138"/>
  <c r="G138"/>
  <c r="I138"/>
  <c r="M138"/>
  <c r="N138"/>
  <c r="O138"/>
  <c r="P138"/>
  <c r="Q138"/>
  <c r="R138"/>
  <c r="S138"/>
  <c r="T138"/>
  <c r="U138"/>
  <c r="V138"/>
  <c r="W138"/>
  <c r="X138"/>
  <c r="Y138"/>
  <c r="Z138"/>
  <c r="AA138"/>
  <c r="AC138"/>
  <c r="AB138"/>
  <c r="I130" i="46"/>
  <c r="I136" s="1"/>
  <c r="I132" i="47"/>
  <c r="I138" s="1"/>
  <c r="I131" i="45"/>
  <c r="I137" s="1"/>
  <c r="I193" i="35"/>
  <c r="I199" s="1"/>
  <c r="I84" i="34"/>
  <c r="I90" s="1"/>
  <c r="I124" i="44"/>
  <c r="I130" s="1"/>
  <c r="I135" s="1"/>
  <c r="Q9" i="10"/>
  <c r="R83" i="34"/>
  <c r="I192" i="35"/>
  <c r="I198" s="1"/>
  <c r="I129" i="46"/>
  <c r="I135" s="1"/>
  <c r="R131" i="45"/>
  <c r="R137" s="1"/>
  <c r="R130" i="46"/>
  <c r="R136" s="1"/>
  <c r="R132" i="47"/>
  <c r="R138" s="1"/>
  <c r="I229" i="29"/>
  <c r="I235" s="1"/>
  <c r="I228"/>
  <c r="I131" i="47"/>
  <c r="I137" s="1"/>
  <c r="I130" i="45"/>
  <c r="I136" s="1"/>
  <c r="G187" i="46"/>
  <c r="I77" i="34"/>
  <c r="I150"/>
  <c r="G152"/>
  <c r="D152" s="1"/>
  <c r="AD99"/>
  <c r="K114" i="24"/>
  <c r="O190" i="29"/>
  <c r="O192" s="1"/>
  <c r="P108"/>
  <c r="P124" s="1"/>
  <c r="F228" i="44"/>
  <c r="F249"/>
  <c r="S231" i="46"/>
  <c r="S252"/>
  <c r="H252"/>
  <c r="H231"/>
  <c r="V231"/>
  <c r="V252"/>
  <c r="AA231"/>
  <c r="AA252"/>
  <c r="P231"/>
  <c r="P252"/>
  <c r="I231"/>
  <c r="I252"/>
  <c r="G374" i="29"/>
  <c r="G353"/>
  <c r="R252" i="47"/>
  <c r="R231"/>
  <c r="P252"/>
  <c r="P231"/>
  <c r="L231"/>
  <c r="L252"/>
  <c r="M252"/>
  <c r="M231"/>
  <c r="W252"/>
  <c r="W231"/>
  <c r="G252"/>
  <c r="G231"/>
  <c r="Z194" i="34"/>
  <c r="Z173"/>
  <c r="V194"/>
  <c r="V173"/>
  <c r="R194"/>
  <c r="R173"/>
  <c r="N194"/>
  <c r="N173"/>
  <c r="K194"/>
  <c r="K173"/>
  <c r="H194"/>
  <c r="H173"/>
  <c r="L256" i="45"/>
  <c r="L235"/>
  <c r="T256"/>
  <c r="T235"/>
  <c r="P256"/>
  <c r="P235"/>
  <c r="Y256"/>
  <c r="Y235"/>
  <c r="M256"/>
  <c r="M235"/>
  <c r="AA256"/>
  <c r="AA235"/>
  <c r="U295" i="35"/>
  <c r="U316"/>
  <c r="W316"/>
  <c r="W295"/>
  <c r="AB316"/>
  <c r="AB295"/>
  <c r="S295"/>
  <c r="S316"/>
  <c r="AC316"/>
  <c r="AC295"/>
  <c r="F274"/>
  <c r="D274" s="1"/>
  <c r="AD208"/>
  <c r="AB231" i="46"/>
  <c r="AB252"/>
  <c r="U231"/>
  <c r="U252"/>
  <c r="F210"/>
  <c r="D210" s="1"/>
  <c r="AD145"/>
  <c r="K231"/>
  <c r="K252"/>
  <c r="AC231"/>
  <c r="AC252"/>
  <c r="N231"/>
  <c r="N252"/>
  <c r="F374" i="29"/>
  <c r="F353"/>
  <c r="U252" i="47"/>
  <c r="U231"/>
  <c r="AA231"/>
  <c r="AA252"/>
  <c r="X252"/>
  <c r="X231"/>
  <c r="J231"/>
  <c r="J252"/>
  <c r="H252"/>
  <c r="H231"/>
  <c r="F210"/>
  <c r="D210" s="1"/>
  <c r="AD147"/>
  <c r="AA194" i="34"/>
  <c r="AA173"/>
  <c r="W194"/>
  <c r="W173"/>
  <c r="S194"/>
  <c r="S173"/>
  <c r="O194"/>
  <c r="O173"/>
  <c r="I173"/>
  <c r="I194"/>
  <c r="G194"/>
  <c r="G173"/>
  <c r="AC256" i="45"/>
  <c r="AC235"/>
  <c r="Z256"/>
  <c r="Z235"/>
  <c r="AB256"/>
  <c r="AB235"/>
  <c r="S256"/>
  <c r="S235"/>
  <c r="N256"/>
  <c r="N235"/>
  <c r="F214"/>
  <c r="D214" s="1"/>
  <c r="AD146"/>
  <c r="T316" i="35"/>
  <c r="T295"/>
  <c r="P316"/>
  <c r="P295"/>
  <c r="H316"/>
  <c r="H295"/>
  <c r="Q316"/>
  <c r="Q295"/>
  <c r="J316"/>
  <c r="J295"/>
  <c r="G316"/>
  <c r="G295"/>
  <c r="D168" i="34"/>
  <c r="H13" i="24" s="1"/>
  <c r="L231" i="46"/>
  <c r="L252"/>
  <c r="Z231"/>
  <c r="Z252"/>
  <c r="O231"/>
  <c r="O252"/>
  <c r="T231"/>
  <c r="T252"/>
  <c r="M231"/>
  <c r="M252"/>
  <c r="W231"/>
  <c r="W252"/>
  <c r="H374" i="29"/>
  <c r="H353"/>
  <c r="AC252" i="47"/>
  <c r="AC231"/>
  <c r="Z252"/>
  <c r="Z231"/>
  <c r="T231"/>
  <c r="T252"/>
  <c r="S252"/>
  <c r="S231"/>
  <c r="K231"/>
  <c r="K252"/>
  <c r="I252"/>
  <c r="I231"/>
  <c r="AB194" i="34"/>
  <c r="AB173"/>
  <c r="X194"/>
  <c r="X173"/>
  <c r="T194"/>
  <c r="T173"/>
  <c r="P194"/>
  <c r="P173"/>
  <c r="L194"/>
  <c r="L173"/>
  <c r="F194"/>
  <c r="F173"/>
  <c r="H256" i="45"/>
  <c r="H235"/>
  <c r="U256"/>
  <c r="U235"/>
  <c r="G256"/>
  <c r="G235"/>
  <c r="R256"/>
  <c r="R235"/>
  <c r="K256"/>
  <c r="K235"/>
  <c r="Q256"/>
  <c r="Q235"/>
  <c r="K316" i="35"/>
  <c r="K295"/>
  <c r="Y316"/>
  <c r="Y295"/>
  <c r="M316"/>
  <c r="M295"/>
  <c r="X316"/>
  <c r="X295"/>
  <c r="V316"/>
  <c r="V295"/>
  <c r="N316"/>
  <c r="N295"/>
  <c r="J231" i="46"/>
  <c r="J252"/>
  <c r="X231"/>
  <c r="X252"/>
  <c r="Q231"/>
  <c r="Q252"/>
  <c r="R231"/>
  <c r="R252"/>
  <c r="G252"/>
  <c r="G231"/>
  <c r="Y231"/>
  <c r="Y252"/>
  <c r="I353" i="29"/>
  <c r="I374"/>
  <c r="O231" i="47"/>
  <c r="O252"/>
  <c r="Y252"/>
  <c r="Y231"/>
  <c r="V252"/>
  <c r="V231"/>
  <c r="AB252"/>
  <c r="AB231"/>
  <c r="Q252"/>
  <c r="Q231"/>
  <c r="N252"/>
  <c r="N231"/>
  <c r="AC194" i="34"/>
  <c r="AC173"/>
  <c r="Y194"/>
  <c r="Y173"/>
  <c r="U194"/>
  <c r="U173"/>
  <c r="Q194"/>
  <c r="Q173"/>
  <c r="M194"/>
  <c r="M173"/>
  <c r="J194"/>
  <c r="J173"/>
  <c r="J256" i="45"/>
  <c r="J235"/>
  <c r="O256"/>
  <c r="O235"/>
  <c r="X256"/>
  <c r="X235"/>
  <c r="V256"/>
  <c r="V235"/>
  <c r="W256"/>
  <c r="W235"/>
  <c r="I256"/>
  <c r="I235"/>
  <c r="Z295" i="35"/>
  <c r="Z316"/>
  <c r="I316"/>
  <c r="I295"/>
  <c r="R316"/>
  <c r="R295"/>
  <c r="AA316"/>
  <c r="AA295"/>
  <c r="O316"/>
  <c r="O295"/>
  <c r="L316"/>
  <c r="L295"/>
  <c r="H132" i="45"/>
  <c r="H138" s="1"/>
  <c r="H131" i="46"/>
  <c r="H137" s="1"/>
  <c r="H133" i="47"/>
  <c r="K275" i="35"/>
  <c r="K317" s="1"/>
  <c r="K246"/>
  <c r="J246"/>
  <c r="J275"/>
  <c r="J317" s="1"/>
  <c r="L275"/>
  <c r="L317" s="1"/>
  <c r="L246"/>
  <c r="M275"/>
  <c r="M317" s="1"/>
  <c r="M246"/>
  <c r="R132" i="45"/>
  <c r="R138" s="1"/>
  <c r="R131" i="46"/>
  <c r="R137" s="1"/>
  <c r="R133" i="47"/>
  <c r="R139" s="1"/>
  <c r="N275" i="35"/>
  <c r="N317" s="1"/>
  <c r="N246"/>
  <c r="F172" i="34"/>
  <c r="F193"/>
  <c r="F196" s="1"/>
  <c r="F198" s="1"/>
  <c r="D189"/>
  <c r="G213" i="45"/>
  <c r="G255" s="1"/>
  <c r="O365" i="29"/>
  <c r="O363"/>
  <c r="O364"/>
  <c r="G209" i="46"/>
  <c r="G251" s="1"/>
  <c r="O151" i="34"/>
  <c r="F154"/>
  <c r="F128"/>
  <c r="P150"/>
  <c r="J296" i="35"/>
  <c r="K296"/>
  <c r="I324" i="29"/>
  <c r="O343"/>
  <c r="O344"/>
  <c r="O342"/>
  <c r="I166" i="34"/>
  <c r="M166"/>
  <c r="L166"/>
  <c r="O166"/>
  <c r="P90"/>
  <c r="N166"/>
  <c r="J166"/>
  <c r="K166"/>
  <c r="H133" i="45"/>
  <c r="H139" s="1"/>
  <c r="H134" i="47"/>
  <c r="H140" s="1"/>
  <c r="H132" i="46"/>
  <c r="H138" s="1"/>
  <c r="H195" i="35"/>
  <c r="H201" s="1"/>
  <c r="F213" i="45"/>
  <c r="R134" i="47"/>
  <c r="R140" s="1"/>
  <c r="R132" i="46"/>
  <c r="R138" s="1"/>
  <c r="R133" i="45"/>
  <c r="R139" s="1"/>
  <c r="I134" i="47"/>
  <c r="I140" s="1"/>
  <c r="I133" i="45"/>
  <c r="I139" s="1"/>
  <c r="I132" i="46"/>
  <c r="I138" s="1"/>
  <c r="G128" i="34"/>
  <c r="P24" i="29"/>
  <c r="I244" i="35"/>
  <c r="O193"/>
  <c r="O194"/>
  <c r="O200" s="1"/>
  <c r="I183"/>
  <c r="I272" s="1"/>
  <c r="I314" s="1"/>
  <c r="H230" i="29"/>
  <c r="H236" s="1"/>
  <c r="H194" i="35"/>
  <c r="H85" i="34"/>
  <c r="O241" i="35"/>
  <c r="O242" s="1"/>
  <c r="O243"/>
  <c r="O244" s="1"/>
  <c r="O174"/>
  <c r="O195"/>
  <c r="O201" s="1"/>
  <c r="O239"/>
  <c r="O240" s="1"/>
  <c r="I201"/>
  <c r="I186"/>
  <c r="I242"/>
  <c r="I240"/>
  <c r="I219" i="29"/>
  <c r="I330" s="1"/>
  <c r="I277"/>
  <c r="P290"/>
  <c r="O314"/>
  <c r="P288"/>
  <c r="O310"/>
  <c r="I71"/>
  <c r="I281"/>
  <c r="N132"/>
  <c r="I234"/>
  <c r="I221"/>
  <c r="I279"/>
  <c r="I78"/>
  <c r="O109"/>
  <c r="O125" s="1"/>
  <c r="O132" s="1"/>
  <c r="P111"/>
  <c r="P126" s="1"/>
  <c r="P25"/>
  <c r="P112" s="1"/>
  <c r="P131" s="1"/>
  <c r="N107" i="31"/>
  <c r="N20" s="1"/>
  <c r="Q23" i="29" s="1"/>
  <c r="N108" i="31"/>
  <c r="N21" s="1"/>
  <c r="N110"/>
  <c r="N23" s="1"/>
  <c r="Q26" i="29" s="1"/>
  <c r="Q195" s="1"/>
  <c r="Q197" s="1"/>
  <c r="N104" i="31"/>
  <c r="N17" s="1"/>
  <c r="Q20" i="29" s="1"/>
  <c r="N109" i="31"/>
  <c r="N22" s="1"/>
  <c r="N105"/>
  <c r="N18" s="1"/>
  <c r="N106"/>
  <c r="N19" s="1"/>
  <c r="Q22" i="29" s="1"/>
  <c r="Q110" s="1"/>
  <c r="P21"/>
  <c r="M41" i="31"/>
  <c r="P35" i="29" s="1"/>
  <c r="O102" i="31"/>
  <c r="P101"/>
  <c r="I231" i="29"/>
  <c r="I237" s="1"/>
  <c r="I86" i="34"/>
  <c r="I92" s="1"/>
  <c r="H231" i="29"/>
  <c r="H237" s="1"/>
  <c r="H86" i="34"/>
  <c r="P89"/>
  <c r="P94" s="1"/>
  <c r="D139" i="29"/>
  <c r="Q84" i="34"/>
  <c r="Q86"/>
  <c r="Q92" s="1"/>
  <c r="Q85"/>
  <c r="Q91" s="1"/>
  <c r="Q72"/>
  <c r="Q74" s="1"/>
  <c r="P76"/>
  <c r="P77" s="1"/>
  <c r="G14" i="10"/>
  <c r="Q14"/>
  <c r="H21"/>
  <c r="H4"/>
  <c r="Q21"/>
  <c r="Q4"/>
  <c r="H9"/>
  <c r="J83" i="34" s="1"/>
  <c r="J89" s="1"/>
  <c r="H141" i="45" l="1"/>
  <c r="H140" i="46"/>
  <c r="G373" i="29"/>
  <c r="G352"/>
  <c r="H239"/>
  <c r="F175" i="34"/>
  <c r="F177" s="1"/>
  <c r="AD136" i="35"/>
  <c r="N167"/>
  <c r="K167"/>
  <c r="I167"/>
  <c r="O167"/>
  <c r="H167"/>
  <c r="F167"/>
  <c r="L167"/>
  <c r="J167"/>
  <c r="G167"/>
  <c r="M167"/>
  <c r="P167"/>
  <c r="Q167"/>
  <c r="R167"/>
  <c r="S167"/>
  <c r="T167"/>
  <c r="U167"/>
  <c r="V167"/>
  <c r="W167"/>
  <c r="X167"/>
  <c r="Y167"/>
  <c r="Z167"/>
  <c r="AA167"/>
  <c r="AB167"/>
  <c r="AC167"/>
  <c r="J162"/>
  <c r="M162"/>
  <c r="M170" s="1"/>
  <c r="M271" s="1"/>
  <c r="N162"/>
  <c r="N170" s="1"/>
  <c r="N271" s="1"/>
  <c r="G162"/>
  <c r="I162"/>
  <c r="L162"/>
  <c r="O162"/>
  <c r="F162"/>
  <c r="F170" s="1"/>
  <c r="H162"/>
  <c r="H170" s="1"/>
  <c r="H271" s="1"/>
  <c r="K162"/>
  <c r="K170" s="1"/>
  <c r="K271" s="1"/>
  <c r="P162"/>
  <c r="P170" s="1"/>
  <c r="P271" s="1"/>
  <c r="Q162"/>
  <c r="Q170" s="1"/>
  <c r="Q271" s="1"/>
  <c r="R162"/>
  <c r="R170" s="1"/>
  <c r="R271" s="1"/>
  <c r="S162"/>
  <c r="S170" s="1"/>
  <c r="S271" s="1"/>
  <c r="T162"/>
  <c r="T170" s="1"/>
  <c r="T271" s="1"/>
  <c r="U162"/>
  <c r="U170" s="1"/>
  <c r="U271" s="1"/>
  <c r="V162"/>
  <c r="V170" s="1"/>
  <c r="V271" s="1"/>
  <c r="W162"/>
  <c r="W170" s="1"/>
  <c r="W271" s="1"/>
  <c r="X162"/>
  <c r="X170" s="1"/>
  <c r="X271" s="1"/>
  <c r="Y162"/>
  <c r="Y170" s="1"/>
  <c r="Y271" s="1"/>
  <c r="Z162"/>
  <c r="Z170" s="1"/>
  <c r="Z271" s="1"/>
  <c r="AA162"/>
  <c r="AA170" s="1"/>
  <c r="AA271" s="1"/>
  <c r="AB162"/>
  <c r="AB170" s="1"/>
  <c r="AB271" s="1"/>
  <c r="AC162"/>
  <c r="AC140"/>
  <c r="AC270" s="1"/>
  <c r="Y140"/>
  <c r="Y270" s="1"/>
  <c r="U140"/>
  <c r="U270" s="1"/>
  <c r="Q140"/>
  <c r="Q270" s="1"/>
  <c r="G140"/>
  <c r="G270" s="1"/>
  <c r="M140"/>
  <c r="M270" s="1"/>
  <c r="AD138"/>
  <c r="AD137"/>
  <c r="AD139"/>
  <c r="Z140"/>
  <c r="Z270" s="1"/>
  <c r="V140"/>
  <c r="V270" s="1"/>
  <c r="R140"/>
  <c r="R270" s="1"/>
  <c r="N140"/>
  <c r="N270" s="1"/>
  <c r="K140"/>
  <c r="K270" s="1"/>
  <c r="S140"/>
  <c r="S270" s="1"/>
  <c r="AA140"/>
  <c r="AA270" s="1"/>
  <c r="W140"/>
  <c r="W270" s="1"/>
  <c r="O140"/>
  <c r="O270" s="1"/>
  <c r="H140"/>
  <c r="H270" s="1"/>
  <c r="J140"/>
  <c r="J270" s="1"/>
  <c r="L140"/>
  <c r="L270" s="1"/>
  <c r="F140"/>
  <c r="AD135"/>
  <c r="AB140"/>
  <c r="AB270" s="1"/>
  <c r="X140"/>
  <c r="X270" s="1"/>
  <c r="T140"/>
  <c r="T270" s="1"/>
  <c r="P140"/>
  <c r="P270" s="1"/>
  <c r="I140"/>
  <c r="I270" s="1"/>
  <c r="S131" i="45"/>
  <c r="S137" s="1"/>
  <c r="S130" i="46"/>
  <c r="S136" s="1"/>
  <c r="S132" i="47"/>
  <c r="S138" s="1"/>
  <c r="J131" i="45"/>
  <c r="J130" i="46"/>
  <c r="J132" i="47"/>
  <c r="J193" i="35"/>
  <c r="J199" s="1"/>
  <c r="J84" i="34"/>
  <c r="J90" s="1"/>
  <c r="R9" i="10"/>
  <c r="S83" i="34"/>
  <c r="H92"/>
  <c r="H91"/>
  <c r="I192"/>
  <c r="I171"/>
  <c r="M296" i="35"/>
  <c r="H213" i="45"/>
  <c r="H255" s="1"/>
  <c r="L114" i="24"/>
  <c r="H187" i="46"/>
  <c r="P190" i="29"/>
  <c r="P192" s="1"/>
  <c r="F255" i="45"/>
  <c r="Q108" i="29"/>
  <c r="Q124" s="1"/>
  <c r="G212" i="46"/>
  <c r="C89" i="24" s="1"/>
  <c r="G230" i="46"/>
  <c r="G233" s="1"/>
  <c r="G235" s="1"/>
  <c r="F256" i="45"/>
  <c r="F235"/>
  <c r="D235" s="1"/>
  <c r="D18" i="24" s="1"/>
  <c r="F252" i="47"/>
  <c r="F231"/>
  <c r="D231" s="1"/>
  <c r="B18" i="24" s="1"/>
  <c r="F316" i="35"/>
  <c r="D316" s="1"/>
  <c r="G39" i="24" s="1"/>
  <c r="F295" i="35"/>
  <c r="D295" s="1"/>
  <c r="G18" i="24" s="1"/>
  <c r="F252" i="46"/>
  <c r="F231"/>
  <c r="D231" s="1"/>
  <c r="E18" i="24" s="1"/>
  <c r="D173" i="34"/>
  <c r="H18" i="24" s="1"/>
  <c r="D194" i="34"/>
  <c r="H39" i="24" s="1"/>
  <c r="S131" i="46"/>
  <c r="S137" s="1"/>
  <c r="S132" i="45"/>
  <c r="S138" s="1"/>
  <c r="S133" i="47"/>
  <c r="S139" s="1"/>
  <c r="P171" i="34"/>
  <c r="P192"/>
  <c r="N296" i="35"/>
  <c r="F156" i="34"/>
  <c r="F157" s="1"/>
  <c r="B95" i="24"/>
  <c r="G234" i="45"/>
  <c r="L296" i="35"/>
  <c r="I275"/>
  <c r="I296" s="1"/>
  <c r="I246"/>
  <c r="O172" i="34"/>
  <c r="O193"/>
  <c r="O196" s="1"/>
  <c r="O198" s="1"/>
  <c r="I132" i="45"/>
  <c r="I131" i="46"/>
  <c r="I137" s="1"/>
  <c r="I140" s="1"/>
  <c r="I133" i="47"/>
  <c r="I139" s="1"/>
  <c r="I142" s="1"/>
  <c r="O275" i="35"/>
  <c r="O317" s="1"/>
  <c r="O246"/>
  <c r="H34" i="24"/>
  <c r="H139" i="47"/>
  <c r="H142" s="1"/>
  <c r="P128" i="34"/>
  <c r="P364" i="29"/>
  <c r="P363"/>
  <c r="P365"/>
  <c r="I351"/>
  <c r="I372"/>
  <c r="I345"/>
  <c r="I346" s="1"/>
  <c r="I366"/>
  <c r="F209" i="46"/>
  <c r="G209" i="47"/>
  <c r="G212" s="1"/>
  <c r="G188"/>
  <c r="G192" s="1"/>
  <c r="F209"/>
  <c r="F188"/>
  <c r="O128" i="34"/>
  <c r="Q150"/>
  <c r="I293" i="35"/>
  <c r="F206" i="44"/>
  <c r="F234" i="45"/>
  <c r="I325" i="29"/>
  <c r="E84" i="24" s="1"/>
  <c r="H331" i="29"/>
  <c r="P343"/>
  <c r="P342"/>
  <c r="P344"/>
  <c r="I327"/>
  <c r="G151" i="34"/>
  <c r="O175"/>
  <c r="O177" s="1"/>
  <c r="O154"/>
  <c r="Q90"/>
  <c r="P166"/>
  <c r="J132" i="46"/>
  <c r="J134" i="47"/>
  <c r="J140" s="1"/>
  <c r="J133" i="45"/>
  <c r="J139" s="1"/>
  <c r="J195" i="35"/>
  <c r="J201" s="1"/>
  <c r="S133" i="45"/>
  <c r="S139" s="1"/>
  <c r="S134" i="47"/>
  <c r="S140" s="1"/>
  <c r="S132" i="46"/>
  <c r="S138" s="1"/>
  <c r="Q24" i="29"/>
  <c r="P193" i="35"/>
  <c r="P199" s="1"/>
  <c r="P194"/>
  <c r="P200" s="1"/>
  <c r="O199"/>
  <c r="P239"/>
  <c r="P240" s="1"/>
  <c r="P241"/>
  <c r="P242" s="1"/>
  <c r="P243"/>
  <c r="P244" s="1"/>
  <c r="P174"/>
  <c r="P195"/>
  <c r="I230" i="29"/>
  <c r="I236" s="1"/>
  <c r="I239" s="1"/>
  <c r="I194" i="35"/>
  <c r="I200" s="1"/>
  <c r="I203" s="1"/>
  <c r="I85" i="34"/>
  <c r="I91" s="1"/>
  <c r="I94" s="1"/>
  <c r="H200" i="35"/>
  <c r="H203" s="1"/>
  <c r="D143" i="29"/>
  <c r="J143" s="1"/>
  <c r="D144"/>
  <c r="D198" s="1"/>
  <c r="J198" s="1"/>
  <c r="I222"/>
  <c r="I299"/>
  <c r="I307" s="1"/>
  <c r="Q288"/>
  <c r="P310"/>
  <c r="Q290"/>
  <c r="P314"/>
  <c r="Q21"/>
  <c r="N41" i="31"/>
  <c r="Q35" i="29" s="1"/>
  <c r="O110" i="31"/>
  <c r="O23" s="1"/>
  <c r="R26" i="29" s="1"/>
  <c r="R195" s="1"/>
  <c r="R197" s="1"/>
  <c r="O105" i="31"/>
  <c r="O18" s="1"/>
  <c r="O109"/>
  <c r="O22" s="1"/>
  <c r="O106"/>
  <c r="O19" s="1"/>
  <c r="R22" i="29" s="1"/>
  <c r="R110" s="1"/>
  <c r="O107" i="31"/>
  <c r="O20" s="1"/>
  <c r="R23" i="29" s="1"/>
  <c r="O108" i="31"/>
  <c r="O21" s="1"/>
  <c r="O104"/>
  <c r="O17" s="1"/>
  <c r="R20" i="29" s="1"/>
  <c r="P102" i="31"/>
  <c r="Q101"/>
  <c r="P109" i="29"/>
  <c r="P125" s="1"/>
  <c r="P132" s="1"/>
  <c r="Q25"/>
  <c r="Q112" s="1"/>
  <c r="Q131" s="1"/>
  <c r="Q111"/>
  <c r="Q126" s="1"/>
  <c r="D142"/>
  <c r="J86" i="34"/>
  <c r="J92" s="1"/>
  <c r="D141" i="29"/>
  <c r="H141" s="1"/>
  <c r="D140"/>
  <c r="D193" s="1"/>
  <c r="Q89" i="34"/>
  <c r="Q94" s="1"/>
  <c r="R86"/>
  <c r="R92" s="1"/>
  <c r="R84"/>
  <c r="R72"/>
  <c r="R74" s="1"/>
  <c r="R85"/>
  <c r="R91" s="1"/>
  <c r="Q76"/>
  <c r="Q77" s="1"/>
  <c r="H14" i="10"/>
  <c r="R14"/>
  <c r="R4"/>
  <c r="R21"/>
  <c r="I4"/>
  <c r="I21"/>
  <c r="I9"/>
  <c r="K83" i="34" s="1"/>
  <c r="K89" s="1"/>
  <c r="H94" l="1"/>
  <c r="I209" i="46"/>
  <c r="I170" i="35"/>
  <c r="I271" s="1"/>
  <c r="I313" s="1"/>
  <c r="O296"/>
  <c r="L170"/>
  <c r="L271" s="1"/>
  <c r="H209" i="46"/>
  <c r="H251" s="1"/>
  <c r="J170" i="35"/>
  <c r="J271" s="1"/>
  <c r="J292" s="1"/>
  <c r="O170"/>
  <c r="O271" s="1"/>
  <c r="X312"/>
  <c r="X291"/>
  <c r="L312"/>
  <c r="L291"/>
  <c r="W312"/>
  <c r="W291"/>
  <c r="N312"/>
  <c r="N291"/>
  <c r="G312"/>
  <c r="G291"/>
  <c r="AC312"/>
  <c r="AC291"/>
  <c r="Z313"/>
  <c r="Z292"/>
  <c r="V313"/>
  <c r="V292"/>
  <c r="R313"/>
  <c r="R292"/>
  <c r="H313"/>
  <c r="H292"/>
  <c r="I292"/>
  <c r="J313"/>
  <c r="T312"/>
  <c r="T291"/>
  <c r="F270"/>
  <c r="D270" s="1"/>
  <c r="AD140"/>
  <c r="O312"/>
  <c r="O291"/>
  <c r="K312"/>
  <c r="K291"/>
  <c r="Z312"/>
  <c r="Z291"/>
  <c r="M312"/>
  <c r="M291"/>
  <c r="Y312"/>
  <c r="Y291"/>
  <c r="AA313"/>
  <c r="AA292"/>
  <c r="W313"/>
  <c r="W292"/>
  <c r="S313"/>
  <c r="S292"/>
  <c r="K313"/>
  <c r="K292"/>
  <c r="L313"/>
  <c r="L292"/>
  <c r="M313"/>
  <c r="M292"/>
  <c r="P291"/>
  <c r="P312"/>
  <c r="H312"/>
  <c r="H291"/>
  <c r="S291"/>
  <c r="S312"/>
  <c r="V291"/>
  <c r="V312"/>
  <c r="U312"/>
  <c r="U291"/>
  <c r="AB313"/>
  <c r="AB292"/>
  <c r="X313"/>
  <c r="X292"/>
  <c r="T313"/>
  <c r="T292"/>
  <c r="P313"/>
  <c r="P292"/>
  <c r="O313"/>
  <c r="O292"/>
  <c r="N313"/>
  <c r="N292"/>
  <c r="I291"/>
  <c r="I312"/>
  <c r="AB312"/>
  <c r="AB291"/>
  <c r="J312"/>
  <c r="J291"/>
  <c r="AA291"/>
  <c r="AA312"/>
  <c r="R312"/>
  <c r="R291"/>
  <c r="Q291"/>
  <c r="Q312"/>
  <c r="AD162"/>
  <c r="AC170"/>
  <c r="AC271" s="1"/>
  <c r="Y313"/>
  <c r="Y292"/>
  <c r="U313"/>
  <c r="U292"/>
  <c r="Q313"/>
  <c r="Q292"/>
  <c r="F271"/>
  <c r="G170"/>
  <c r="G271" s="1"/>
  <c r="AD167"/>
  <c r="S9" i="10"/>
  <c r="T83" i="34"/>
  <c r="J136" i="46"/>
  <c r="K132" i="47"/>
  <c r="K138" s="1"/>
  <c r="K130" i="46"/>
  <c r="K136" s="1"/>
  <c r="K131" i="45"/>
  <c r="K137" s="1"/>
  <c r="K193" i="35"/>
  <c r="K199" s="1"/>
  <c r="K84" i="34"/>
  <c r="K90" s="1"/>
  <c r="J138" i="47"/>
  <c r="T131" i="45"/>
  <c r="T137" s="1"/>
  <c r="T130" i="46"/>
  <c r="T136" s="1"/>
  <c r="T132" i="47"/>
  <c r="T138" s="1"/>
  <c r="J137" i="45"/>
  <c r="H128" i="34"/>
  <c r="P151"/>
  <c r="P172" s="1"/>
  <c r="P175" s="1"/>
  <c r="P177" s="1"/>
  <c r="G214" i="46"/>
  <c r="H234" i="45"/>
  <c r="M114" i="24"/>
  <c r="R108" i="29"/>
  <c r="R124" s="1"/>
  <c r="Q190"/>
  <c r="Q192" s="1"/>
  <c r="F248" i="44"/>
  <c r="F251" i="47"/>
  <c r="I317" i="35"/>
  <c r="F251" i="46"/>
  <c r="K143" i="29"/>
  <c r="T131" i="46"/>
  <c r="T137" s="1"/>
  <c r="T132" i="45"/>
  <c r="T138" s="1"/>
  <c r="T133" i="47"/>
  <c r="T139" s="1"/>
  <c r="J132" i="45"/>
  <c r="J138" s="1"/>
  <c r="J131" i="46"/>
  <c r="J133" i="47"/>
  <c r="J139" s="1"/>
  <c r="O156" i="34"/>
  <c r="O157" s="1"/>
  <c r="K95" i="24"/>
  <c r="F143" i="29"/>
  <c r="G190" i="47"/>
  <c r="F230" i="46"/>
  <c r="P246" i="35"/>
  <c r="P275"/>
  <c r="P317" s="1"/>
  <c r="G172" i="34"/>
  <c r="G193"/>
  <c r="I138" i="45"/>
  <c r="I141" s="1"/>
  <c r="H143" i="29"/>
  <c r="Q171" i="34"/>
  <c r="Q192"/>
  <c r="I143" i="29"/>
  <c r="N143"/>
  <c r="I187" i="46"/>
  <c r="I251"/>
  <c r="I212"/>
  <c r="E89" i="24" s="1"/>
  <c r="R193" i="29"/>
  <c r="H212" i="46"/>
  <c r="H214" s="1"/>
  <c r="Q364" i="29"/>
  <c r="Q363"/>
  <c r="Q365"/>
  <c r="H230" i="46"/>
  <c r="H233" s="1"/>
  <c r="I230"/>
  <c r="I233" s="1"/>
  <c r="I235" s="1"/>
  <c r="I367" i="29"/>
  <c r="H352"/>
  <c r="H373"/>
  <c r="I331"/>
  <c r="I348"/>
  <c r="I369"/>
  <c r="G230" i="47"/>
  <c r="G233" s="1"/>
  <c r="G235" s="1"/>
  <c r="G251"/>
  <c r="G214"/>
  <c r="C83" i="24"/>
  <c r="H188" i="47"/>
  <c r="H190" s="1"/>
  <c r="H209"/>
  <c r="F230"/>
  <c r="F233" s="1"/>
  <c r="F235" s="1"/>
  <c r="F212"/>
  <c r="I209"/>
  <c r="I188"/>
  <c r="I190" s="1"/>
  <c r="Q128" i="34"/>
  <c r="R150"/>
  <c r="I273" i="35"/>
  <c r="I315" s="1"/>
  <c r="F227" i="44"/>
  <c r="P143" i="29"/>
  <c r="Q342"/>
  <c r="Q344"/>
  <c r="Q343"/>
  <c r="L143"/>
  <c r="O143"/>
  <c r="M143"/>
  <c r="G143"/>
  <c r="R142"/>
  <c r="Q151" i="34"/>
  <c r="H151"/>
  <c r="G154"/>
  <c r="R90"/>
  <c r="Q166"/>
  <c r="I128"/>
  <c r="T133" i="45"/>
  <c r="T139" s="1"/>
  <c r="T134" i="47"/>
  <c r="T140" s="1"/>
  <c r="T132" i="46"/>
  <c r="T138" s="1"/>
  <c r="J138"/>
  <c r="K133" i="45"/>
  <c r="K132" i="46"/>
  <c r="K138" s="1"/>
  <c r="K134" i="47"/>
  <c r="K195" i="35"/>
  <c r="K201" s="1"/>
  <c r="F190" i="47"/>
  <c r="F192"/>
  <c r="I250" i="35"/>
  <c r="I254" s="1"/>
  <c r="R24" i="29"/>
  <c r="Q193" i="35"/>
  <c r="Q194"/>
  <c r="Q200" s="1"/>
  <c r="P201"/>
  <c r="Q143" i="29"/>
  <c r="Q243" i="35"/>
  <c r="Q174"/>
  <c r="Q241"/>
  <c r="Q242" s="1"/>
  <c r="Q195"/>
  <c r="Q201" s="1"/>
  <c r="Q239"/>
  <c r="J194"/>
  <c r="J85" i="34"/>
  <c r="J91" s="1"/>
  <c r="J94" s="1"/>
  <c r="G144" i="29"/>
  <c r="I315"/>
  <c r="I311"/>
  <c r="R290"/>
  <c r="Q314"/>
  <c r="R288"/>
  <c r="Q310"/>
  <c r="L198"/>
  <c r="Q102" i="31"/>
  <c r="R101"/>
  <c r="O41"/>
  <c r="R35" i="29" s="1"/>
  <c r="R21"/>
  <c r="R25"/>
  <c r="R112" s="1"/>
  <c r="R131" s="1"/>
  <c r="P104" i="31"/>
  <c r="P17" s="1"/>
  <c r="S20" i="29" s="1"/>
  <c r="P109" i="31"/>
  <c r="P22" s="1"/>
  <c r="P110"/>
  <c r="P23" s="1"/>
  <c r="S26" i="29" s="1"/>
  <c r="S195" s="1"/>
  <c r="S197" s="1"/>
  <c r="P108" i="31"/>
  <c r="P21" s="1"/>
  <c r="P106"/>
  <c r="P19" s="1"/>
  <c r="S22" i="29" s="1"/>
  <c r="S110" s="1"/>
  <c r="S142" s="1"/>
  <c r="P107" i="31"/>
  <c r="P20" s="1"/>
  <c r="S23" i="29" s="1"/>
  <c r="P105" i="31"/>
  <c r="P18" s="1"/>
  <c r="R111" i="29"/>
  <c r="Q109"/>
  <c r="Q125" s="1"/>
  <c r="Q132" s="1"/>
  <c r="P144"/>
  <c r="O198"/>
  <c r="M144"/>
  <c r="J144"/>
  <c r="N198"/>
  <c r="Q142"/>
  <c r="F198"/>
  <c r="F144"/>
  <c r="I144"/>
  <c r="L144"/>
  <c r="P198"/>
  <c r="I198"/>
  <c r="O144"/>
  <c r="H144"/>
  <c r="K198"/>
  <c r="G198"/>
  <c r="K144"/>
  <c r="N144"/>
  <c r="Q144"/>
  <c r="M198"/>
  <c r="H198"/>
  <c r="N142"/>
  <c r="K142"/>
  <c r="H142"/>
  <c r="F142"/>
  <c r="G142"/>
  <c r="J142"/>
  <c r="M142"/>
  <c r="P142"/>
  <c r="I142"/>
  <c r="L142"/>
  <c r="O142"/>
  <c r="M193"/>
  <c r="K86" i="34"/>
  <c r="K92" s="1"/>
  <c r="N141" i="29"/>
  <c r="K141"/>
  <c r="G141"/>
  <c r="J141"/>
  <c r="M141"/>
  <c r="P141"/>
  <c r="L140"/>
  <c r="F141"/>
  <c r="I141"/>
  <c r="L141"/>
  <c r="I140"/>
  <c r="O141"/>
  <c r="J140"/>
  <c r="Q140"/>
  <c r="K140"/>
  <c r="G193"/>
  <c r="M140"/>
  <c r="P140"/>
  <c r="L193"/>
  <c r="J193"/>
  <c r="N140"/>
  <c r="H140"/>
  <c r="O140"/>
  <c r="O193"/>
  <c r="P193"/>
  <c r="H193"/>
  <c r="K193"/>
  <c r="R140"/>
  <c r="F140"/>
  <c r="G140"/>
  <c r="F193"/>
  <c r="Q193"/>
  <c r="I193"/>
  <c r="N193"/>
  <c r="R89" i="34"/>
  <c r="R94" s="1"/>
  <c r="R76"/>
  <c r="R77" s="1"/>
  <c r="S86"/>
  <c r="S92" s="1"/>
  <c r="S85"/>
  <c r="S91" s="1"/>
  <c r="S72"/>
  <c r="S74" s="1"/>
  <c r="S84"/>
  <c r="I14" i="10"/>
  <c r="S14"/>
  <c r="B84" i="9"/>
  <c r="S21" i="10"/>
  <c r="J9"/>
  <c r="L83" i="34" s="1"/>
  <c r="L89" s="1"/>
  <c r="J21" i="10"/>
  <c r="J4"/>
  <c r="S4"/>
  <c r="I318" i="35" l="1"/>
  <c r="I320" s="1"/>
  <c r="AD170"/>
  <c r="D271"/>
  <c r="F313"/>
  <c r="F292"/>
  <c r="AC313"/>
  <c r="AC292"/>
  <c r="G313"/>
  <c r="G292"/>
  <c r="F312"/>
  <c r="D312" s="1"/>
  <c r="G35" i="24" s="1"/>
  <c r="F291" i="35"/>
  <c r="D291" s="1"/>
  <c r="G14" i="24" s="1"/>
  <c r="T9" i="10"/>
  <c r="U83" i="34"/>
  <c r="L132" i="47"/>
  <c r="L138" s="1"/>
  <c r="L130" i="46"/>
  <c r="L136" s="1"/>
  <c r="L131" i="45"/>
  <c r="L193" i="35"/>
  <c r="L199" s="1"/>
  <c r="L84" i="34"/>
  <c r="L90" s="1"/>
  <c r="U131" i="45"/>
  <c r="U137" s="1"/>
  <c r="U130" i="46"/>
  <c r="U136" s="1"/>
  <c r="U132" i="47"/>
  <c r="U138" s="1"/>
  <c r="Q198" i="29"/>
  <c r="P193" i="34"/>
  <c r="P196" s="1"/>
  <c r="P198" s="1"/>
  <c r="P154"/>
  <c r="N114" i="24"/>
  <c r="R190" i="29"/>
  <c r="R192" s="1"/>
  <c r="S108"/>
  <c r="S124" s="1"/>
  <c r="G215" i="47"/>
  <c r="H235" i="46"/>
  <c r="I214"/>
  <c r="D89" i="24"/>
  <c r="H172" i="34"/>
  <c r="H193"/>
  <c r="H196" s="1"/>
  <c r="H198" s="1"/>
  <c r="G156"/>
  <c r="C95" i="24"/>
  <c r="R171" i="34"/>
  <c r="R192"/>
  <c r="G196"/>
  <c r="G198" s="1"/>
  <c r="K132" i="45"/>
  <c r="K138" s="1"/>
  <c r="K131" i="46"/>
  <c r="K137" s="1"/>
  <c r="K133" i="47"/>
  <c r="I213" i="45"/>
  <c r="P296" i="35"/>
  <c r="U132" i="45"/>
  <c r="U138" s="1"/>
  <c r="U131" i="46"/>
  <c r="U137" s="1"/>
  <c r="U133" i="47"/>
  <c r="U139" s="1"/>
  <c r="Q172" i="34"/>
  <c r="Q175" s="1"/>
  <c r="Q177" s="1"/>
  <c r="Q193"/>
  <c r="Q196" s="1"/>
  <c r="Q198" s="1"/>
  <c r="J137" i="46"/>
  <c r="R364" i="29"/>
  <c r="R363"/>
  <c r="R365"/>
  <c r="I352"/>
  <c r="I373"/>
  <c r="I212" i="47"/>
  <c r="I251"/>
  <c r="H212"/>
  <c r="H251"/>
  <c r="F214"/>
  <c r="B83" i="24"/>
  <c r="I230" i="47"/>
  <c r="I233" s="1"/>
  <c r="I235" s="1"/>
  <c r="H230"/>
  <c r="H233" s="1"/>
  <c r="H235" s="1"/>
  <c r="H192"/>
  <c r="R128" i="34"/>
  <c r="S150"/>
  <c r="I294" i="35"/>
  <c r="I297" s="1"/>
  <c r="I299" s="1"/>
  <c r="I276"/>
  <c r="I192" i="47"/>
  <c r="Q141" i="29"/>
  <c r="Q145" s="1"/>
  <c r="R343"/>
  <c r="R344"/>
  <c r="R342"/>
  <c r="Q154" i="34"/>
  <c r="I151"/>
  <c r="H175"/>
  <c r="H177" s="1"/>
  <c r="H154"/>
  <c r="G175"/>
  <c r="G177" s="1"/>
  <c r="J128"/>
  <c r="R166"/>
  <c r="S90"/>
  <c r="L134" i="47"/>
  <c r="L140" s="1"/>
  <c r="L132" i="46"/>
  <c r="L138" s="1"/>
  <c r="L133" i="45"/>
  <c r="L139" s="1"/>
  <c r="L195" i="35"/>
  <c r="L201" s="1"/>
  <c r="K139" i="45"/>
  <c r="U134" i="47"/>
  <c r="U140" s="1"/>
  <c r="U133" i="45"/>
  <c r="U139" s="1"/>
  <c r="U132" i="46"/>
  <c r="U138" s="1"/>
  <c r="K140" i="47"/>
  <c r="S193" i="29"/>
  <c r="S24"/>
  <c r="I252" i="35"/>
  <c r="R193"/>
  <c r="R199" s="1"/>
  <c r="R194"/>
  <c r="R200" s="1"/>
  <c r="G206" i="29"/>
  <c r="G329" s="1"/>
  <c r="J200" i="35"/>
  <c r="Q240"/>
  <c r="Q244"/>
  <c r="K194"/>
  <c r="K200" s="1"/>
  <c r="K85" i="34"/>
  <c r="K91" s="1"/>
  <c r="K94" s="1"/>
  <c r="R174" i="35"/>
  <c r="R195"/>
  <c r="R201" s="1"/>
  <c r="R239"/>
  <c r="R240" s="1"/>
  <c r="R241"/>
  <c r="R243"/>
  <c r="R244" s="1"/>
  <c r="Q199"/>
  <c r="R144" i="29"/>
  <c r="S290"/>
  <c r="R314"/>
  <c r="S288"/>
  <c r="R310"/>
  <c r="O145"/>
  <c r="R126"/>
  <c r="R143"/>
  <c r="S111"/>
  <c r="S25"/>
  <c r="S112" s="1"/>
  <c r="R109"/>
  <c r="P41" i="31"/>
  <c r="S35" i="29" s="1"/>
  <c r="S21"/>
  <c r="Q106" i="31"/>
  <c r="Q19" s="1"/>
  <c r="T22" i="29" s="1"/>
  <c r="T110" s="1"/>
  <c r="T142" s="1"/>
  <c r="Q107" i="31"/>
  <c r="Q20" s="1"/>
  <c r="T23" i="29" s="1"/>
  <c r="Q110" i="31"/>
  <c r="Q23" s="1"/>
  <c r="T26" i="29" s="1"/>
  <c r="T195" s="1"/>
  <c r="Q108" i="31"/>
  <c r="Q21" s="1"/>
  <c r="Q109"/>
  <c r="Q22" s="1"/>
  <c r="Q104"/>
  <c r="Q17" s="1"/>
  <c r="T20" i="29" s="1"/>
  <c r="Q105" i="31"/>
  <c r="Q18" s="1"/>
  <c r="S101"/>
  <c r="R102"/>
  <c r="H206" i="29"/>
  <c r="H329" s="1"/>
  <c r="I206"/>
  <c r="I329" s="1"/>
  <c r="F206"/>
  <c r="F329" s="1"/>
  <c r="H145"/>
  <c r="H328" s="1"/>
  <c r="H370" s="1"/>
  <c r="F145"/>
  <c r="F328" s="1"/>
  <c r="M145"/>
  <c r="L145"/>
  <c r="L86" i="34"/>
  <c r="L92" s="1"/>
  <c r="J145" i="29"/>
  <c r="G145"/>
  <c r="G328" s="1"/>
  <c r="G370" s="1"/>
  <c r="I145"/>
  <c r="I328" s="1"/>
  <c r="I370" s="1"/>
  <c r="N145"/>
  <c r="K145"/>
  <c r="P145"/>
  <c r="S89" i="34"/>
  <c r="S94" s="1"/>
  <c r="Q130"/>
  <c r="T72"/>
  <c r="T74" s="1"/>
  <c r="T84"/>
  <c r="T85"/>
  <c r="T91" s="1"/>
  <c r="T86"/>
  <c r="T92" s="1"/>
  <c r="S76"/>
  <c r="S77" s="1"/>
  <c r="J14" i="10"/>
  <c r="T14"/>
  <c r="K21"/>
  <c r="K9"/>
  <c r="M83" i="34" s="1"/>
  <c r="M89" s="1"/>
  <c r="T21" i="10"/>
  <c r="T4"/>
  <c r="K4"/>
  <c r="D313" i="35" l="1"/>
  <c r="G36" i="24" s="1"/>
  <c r="D292" i="35"/>
  <c r="G15" i="24" s="1"/>
  <c r="M130" i="46"/>
  <c r="M132" i="47"/>
  <c r="M138" s="1"/>
  <c r="M131" i="45"/>
  <c r="M137" s="1"/>
  <c r="M84" i="34"/>
  <c r="M90" s="1"/>
  <c r="M193" i="35"/>
  <c r="M199" s="1"/>
  <c r="U9" i="10"/>
  <c r="V83" i="34"/>
  <c r="V131" i="45"/>
  <c r="V137" s="1"/>
  <c r="V130" i="46"/>
  <c r="V136" s="1"/>
  <c r="V132" i="47"/>
  <c r="V138" s="1"/>
  <c r="L137" i="45"/>
  <c r="L95" i="24"/>
  <c r="P156" i="34"/>
  <c r="P157" s="1"/>
  <c r="R198" i="29"/>
  <c r="O114" i="24"/>
  <c r="S140" i="29"/>
  <c r="T108"/>
  <c r="T124" s="1"/>
  <c r="S190"/>
  <c r="S192" s="1"/>
  <c r="I172" i="34"/>
  <c r="I193"/>
  <c r="V131" i="46"/>
  <c r="V137" s="1"/>
  <c r="V132" i="45"/>
  <c r="V138" s="1"/>
  <c r="V133" i="47"/>
  <c r="V139" s="1"/>
  <c r="Q246" i="35"/>
  <c r="Q275"/>
  <c r="Q156" i="34"/>
  <c r="Q157" s="1"/>
  <c r="M95" i="24"/>
  <c r="K139" i="47"/>
  <c r="F215"/>
  <c r="I255" i="45"/>
  <c r="I234"/>
  <c r="S171" i="34"/>
  <c r="S192"/>
  <c r="L131" i="46"/>
  <c r="L137" s="1"/>
  <c r="L132" i="45"/>
  <c r="L138" s="1"/>
  <c r="L133" i="47"/>
  <c r="L139" s="1"/>
  <c r="H156" i="34"/>
  <c r="H157" s="1"/>
  <c r="D95" i="24"/>
  <c r="G157" i="34"/>
  <c r="S363" i="29"/>
  <c r="S364"/>
  <c r="S365"/>
  <c r="F349"/>
  <c r="F370"/>
  <c r="I350"/>
  <c r="I371"/>
  <c r="H350"/>
  <c r="H371"/>
  <c r="G350"/>
  <c r="G371"/>
  <c r="F350"/>
  <c r="F371"/>
  <c r="I214" i="47"/>
  <c r="I215" s="1"/>
  <c r="E83" i="24"/>
  <c r="I278" i="35"/>
  <c r="I279" s="1"/>
  <c r="E93" i="24"/>
  <c r="H214" i="47"/>
  <c r="D83" i="24"/>
  <c r="R151" i="34"/>
  <c r="S128"/>
  <c r="T150"/>
  <c r="H349" i="29"/>
  <c r="I349"/>
  <c r="S342"/>
  <c r="S343"/>
  <c r="S344"/>
  <c r="G349"/>
  <c r="R132" i="34"/>
  <c r="J151"/>
  <c r="S151"/>
  <c r="I175"/>
  <c r="I177" s="1"/>
  <c r="I154"/>
  <c r="K128"/>
  <c r="S166"/>
  <c r="T90"/>
  <c r="V134" i="47"/>
  <c r="V140" s="1"/>
  <c r="V132" i="46"/>
  <c r="V138" s="1"/>
  <c r="V133" i="45"/>
  <c r="V139" s="1"/>
  <c r="M134" i="47"/>
  <c r="M133" i="45"/>
  <c r="M132" i="46"/>
  <c r="M195" i="35"/>
  <c r="M201" s="1"/>
  <c r="T24" i="29"/>
  <c r="S243" i="35"/>
  <c r="S174"/>
  <c r="S195"/>
  <c r="S201" s="1"/>
  <c r="S239"/>
  <c r="S240" s="1"/>
  <c r="S241"/>
  <c r="S242" s="1"/>
  <c r="S193"/>
  <c r="S194"/>
  <c r="S200" s="1"/>
  <c r="R242"/>
  <c r="R246" s="1"/>
  <c r="L194"/>
  <c r="L85" i="34"/>
  <c r="L91" s="1"/>
  <c r="L94" s="1"/>
  <c r="T290" i="29"/>
  <c r="S314"/>
  <c r="T288"/>
  <c r="S310"/>
  <c r="H301"/>
  <c r="H303" s="1"/>
  <c r="G287"/>
  <c r="G289" s="1"/>
  <c r="G301"/>
  <c r="R107" i="31"/>
  <c r="R20" s="1"/>
  <c r="U23" i="29" s="1"/>
  <c r="R108" i="31"/>
  <c r="R21" s="1"/>
  <c r="R110"/>
  <c r="R23" s="1"/>
  <c r="U26" i="29" s="1"/>
  <c r="U195" s="1"/>
  <c r="R104" i="31"/>
  <c r="R17" s="1"/>
  <c r="U20" i="29" s="1"/>
  <c r="R109" i="31"/>
  <c r="R22" s="1"/>
  <c r="R105"/>
  <c r="R18" s="1"/>
  <c r="R106"/>
  <c r="R19" s="1"/>
  <c r="U22" i="29" s="1"/>
  <c r="U110" s="1"/>
  <c r="U142" s="1"/>
  <c r="T25"/>
  <c r="T112" s="1"/>
  <c r="S126"/>
  <c r="S143"/>
  <c r="T111"/>
  <c r="S109"/>
  <c r="R125"/>
  <c r="R132" s="1"/>
  <c r="R141"/>
  <c r="T21"/>
  <c r="Q41" i="31"/>
  <c r="T35" i="29" s="1"/>
  <c r="T193"/>
  <c r="T197"/>
  <c r="S131"/>
  <c r="S144"/>
  <c r="T101" i="31"/>
  <c r="S102"/>
  <c r="H287" i="29"/>
  <c r="M86" i="34"/>
  <c r="M92" s="1"/>
  <c r="T89"/>
  <c r="T94" s="1"/>
  <c r="O132"/>
  <c r="Q132"/>
  <c r="I132"/>
  <c r="P130"/>
  <c r="P132"/>
  <c r="J130"/>
  <c r="J132"/>
  <c r="G132"/>
  <c r="G130"/>
  <c r="F130"/>
  <c r="F132"/>
  <c r="H130"/>
  <c r="H132"/>
  <c r="R130"/>
  <c r="T76"/>
  <c r="T77" s="1"/>
  <c r="U85"/>
  <c r="U91" s="1"/>
  <c r="U84"/>
  <c r="U86"/>
  <c r="U92" s="1"/>
  <c r="U72"/>
  <c r="U74" s="1"/>
  <c r="U14" i="10"/>
  <c r="K14"/>
  <c r="L4"/>
  <c r="U4"/>
  <c r="L21"/>
  <c r="U21"/>
  <c r="L9"/>
  <c r="N83" i="34" s="1"/>
  <c r="N89" s="1"/>
  <c r="M136" i="46" l="1"/>
  <c r="V9" i="10"/>
  <c r="X83" i="34" s="1"/>
  <c r="W83"/>
  <c r="N130" i="46"/>
  <c r="N136" s="1"/>
  <c r="N132" i="47"/>
  <c r="N138" s="1"/>
  <c r="N131" i="45"/>
  <c r="N84" i="34"/>
  <c r="N90" s="1"/>
  <c r="N193" i="35"/>
  <c r="N199" s="1"/>
  <c r="W131" i="45"/>
  <c r="W137" s="1"/>
  <c r="W130" i="46"/>
  <c r="W136" s="1"/>
  <c r="W132" i="47"/>
  <c r="W138" s="1"/>
  <c r="T140" i="29"/>
  <c r="P114" i="24"/>
  <c r="S198" i="29"/>
  <c r="U108"/>
  <c r="U124" s="1"/>
  <c r="T190"/>
  <c r="T198" s="1"/>
  <c r="Q317" i="35"/>
  <c r="H215" i="47"/>
  <c r="I196" i="34"/>
  <c r="I198" s="1"/>
  <c r="M132" i="45"/>
  <c r="M138" s="1"/>
  <c r="M131" i="46"/>
  <c r="M137" s="1"/>
  <c r="M133" i="47"/>
  <c r="M139" s="1"/>
  <c r="I156" i="34"/>
  <c r="E95" i="24"/>
  <c r="Q296" i="35"/>
  <c r="J172" i="34"/>
  <c r="J193"/>
  <c r="J196" s="1"/>
  <c r="J198" s="1"/>
  <c r="S172"/>
  <c r="S175" s="1"/>
  <c r="S177" s="1"/>
  <c r="S193"/>
  <c r="S196" s="1"/>
  <c r="S198" s="1"/>
  <c r="R275" i="35"/>
  <c r="R317" s="1"/>
  <c r="R172" i="34"/>
  <c r="R175" s="1"/>
  <c r="R177" s="1"/>
  <c r="R193"/>
  <c r="R196" s="1"/>
  <c r="R198" s="1"/>
  <c r="W131" i="46"/>
  <c r="W137" s="1"/>
  <c r="W132" i="45"/>
  <c r="W138" s="1"/>
  <c r="W133" i="47"/>
  <c r="W139" s="1"/>
  <c r="T171" i="34"/>
  <c r="T192"/>
  <c r="T363" i="29"/>
  <c r="T365"/>
  <c r="T364"/>
  <c r="R154" i="34"/>
  <c r="U150"/>
  <c r="T342" i="29"/>
  <c r="T344"/>
  <c r="T343"/>
  <c r="J175" i="34"/>
  <c r="J177" s="1"/>
  <c r="J154"/>
  <c r="S154"/>
  <c r="K151"/>
  <c r="S130"/>
  <c r="T151"/>
  <c r="U90"/>
  <c r="L128"/>
  <c r="T166"/>
  <c r="H291" i="29"/>
  <c r="G291"/>
  <c r="M139" i="45"/>
  <c r="W133"/>
  <c r="W139" s="1"/>
  <c r="W134" i="47"/>
  <c r="W140" s="1"/>
  <c r="W132" i="46"/>
  <c r="W138" s="1"/>
  <c r="M138"/>
  <c r="N132"/>
  <c r="N138" s="1"/>
  <c r="N134" i="47"/>
  <c r="N140" s="1"/>
  <c r="N133" i="45"/>
  <c r="N139" s="1"/>
  <c r="N195" i="35"/>
  <c r="N201" s="1"/>
  <c r="M140" i="47"/>
  <c r="U24" i="29"/>
  <c r="M194" i="35"/>
  <c r="M200" s="1"/>
  <c r="M85" i="34"/>
  <c r="M91" s="1"/>
  <c r="M94" s="1"/>
  <c r="T241" i="35"/>
  <c r="T242" s="1"/>
  <c r="T243"/>
  <c r="T244" s="1"/>
  <c r="T174"/>
  <c r="T195"/>
  <c r="T201" s="1"/>
  <c r="T239"/>
  <c r="T240" s="1"/>
  <c r="S244"/>
  <c r="S275" s="1"/>
  <c r="S317" s="1"/>
  <c r="L200"/>
  <c r="T193"/>
  <c r="T199" s="1"/>
  <c r="T194"/>
  <c r="T200" s="1"/>
  <c r="H308" i="29"/>
  <c r="H316" s="1"/>
  <c r="S199" i="35"/>
  <c r="R145" i="29"/>
  <c r="U288"/>
  <c r="T310"/>
  <c r="U290"/>
  <c r="T314"/>
  <c r="H304"/>
  <c r="G303"/>
  <c r="G304" s="1"/>
  <c r="G308"/>
  <c r="S105" i="31"/>
  <c r="S18" s="1"/>
  <c r="S106"/>
  <c r="S19" s="1"/>
  <c r="V22" i="29" s="1"/>
  <c r="V110" s="1"/>
  <c r="V142" s="1"/>
  <c r="S109" i="31"/>
  <c r="S22" s="1"/>
  <c r="S108"/>
  <c r="S21" s="1"/>
  <c r="S107"/>
  <c r="S20" s="1"/>
  <c r="V23" i="29" s="1"/>
  <c r="S104" i="31"/>
  <c r="S17" s="1"/>
  <c r="V20" i="29" s="1"/>
  <c r="S110" i="31"/>
  <c r="S23" s="1"/>
  <c r="V26" i="29" s="1"/>
  <c r="V195" s="1"/>
  <c r="T109"/>
  <c r="T126"/>
  <c r="T143"/>
  <c r="U25"/>
  <c r="U112" s="1"/>
  <c r="U111"/>
  <c r="S125"/>
  <c r="S132" s="1"/>
  <c r="S141"/>
  <c r="S145" s="1"/>
  <c r="U21"/>
  <c r="R41" i="31"/>
  <c r="U35" i="29" s="1"/>
  <c r="T102" i="31"/>
  <c r="U101"/>
  <c r="T131" i="29"/>
  <c r="T144"/>
  <c r="U193"/>
  <c r="U197"/>
  <c r="H289"/>
  <c r="N86" i="34"/>
  <c r="N92" s="1"/>
  <c r="U89"/>
  <c r="U94" s="1"/>
  <c r="S132"/>
  <c r="O130"/>
  <c r="I130"/>
  <c r="U76"/>
  <c r="U77" s="1"/>
  <c r="V84"/>
  <c r="V72"/>
  <c r="V74" s="1"/>
  <c r="V85"/>
  <c r="V91" s="1"/>
  <c r="V86"/>
  <c r="V92" s="1"/>
  <c r="V14" i="10"/>
  <c r="L14"/>
  <c r="V4"/>
  <c r="V21"/>
  <c r="T192" i="29" l="1"/>
  <c r="X131" i="45"/>
  <c r="X137" s="1"/>
  <c r="X132" i="47"/>
  <c r="X130" i="46"/>
  <c r="N137" i="45"/>
  <c r="AD131"/>
  <c r="AD83" i="34"/>
  <c r="U140" i="29"/>
  <c r="Q114" i="24"/>
  <c r="V108" i="29"/>
  <c r="V124" s="1"/>
  <c r="U190"/>
  <c r="U192" s="1"/>
  <c r="T275" i="35"/>
  <c r="T317" s="1"/>
  <c r="T246"/>
  <c r="N131" i="46"/>
  <c r="N137" s="1"/>
  <c r="N132" i="45"/>
  <c r="N138" s="1"/>
  <c r="N133" i="47"/>
  <c r="N139" s="1"/>
  <c r="S156" i="34"/>
  <c r="S157" s="1"/>
  <c r="O95" i="24"/>
  <c r="S246" i="35"/>
  <c r="R156" i="34"/>
  <c r="R157" s="1"/>
  <c r="N95" i="24"/>
  <c r="J156" i="34"/>
  <c r="J157" s="1"/>
  <c r="F95" i="24"/>
  <c r="U171" i="34"/>
  <c r="U192"/>
  <c r="K172"/>
  <c r="K193"/>
  <c r="X132" i="45"/>
  <c r="X131" i="46"/>
  <c r="X133" i="47"/>
  <c r="T172" i="34"/>
  <c r="T175" s="1"/>
  <c r="T177" s="1"/>
  <c r="T193"/>
  <c r="T196" s="1"/>
  <c r="T198" s="1"/>
  <c r="I157"/>
  <c r="R296" i="35"/>
  <c r="U363" i="29"/>
  <c r="U365"/>
  <c r="U364"/>
  <c r="T128" i="34"/>
  <c r="T130" s="1"/>
  <c r="V150"/>
  <c r="S296" i="35"/>
  <c r="U344" i="29"/>
  <c r="U342"/>
  <c r="U343"/>
  <c r="K132" i="34"/>
  <c r="K130"/>
  <c r="K154"/>
  <c r="L151"/>
  <c r="T154"/>
  <c r="U151"/>
  <c r="U166"/>
  <c r="V90"/>
  <c r="X133" i="45"/>
  <c r="X134" i="47"/>
  <c r="X132" i="46"/>
  <c r="H312" i="29"/>
  <c r="V24"/>
  <c r="U193" i="35"/>
  <c r="U199" s="1"/>
  <c r="U194"/>
  <c r="U200" s="1"/>
  <c r="N194"/>
  <c r="N85" i="34"/>
  <c r="N91" s="1"/>
  <c r="N94" s="1"/>
  <c r="U174" i="35"/>
  <c r="U243"/>
  <c r="U244" s="1"/>
  <c r="U195"/>
  <c r="U201" s="1"/>
  <c r="U241"/>
  <c r="U242" s="1"/>
  <c r="U239"/>
  <c r="U240" s="1"/>
  <c r="V290" i="29"/>
  <c r="U314"/>
  <c r="V288"/>
  <c r="U310"/>
  <c r="G316"/>
  <c r="G312"/>
  <c r="U102" i="31"/>
  <c r="V101"/>
  <c r="T141" i="29"/>
  <c r="T125"/>
  <c r="T132" s="1"/>
  <c r="U143"/>
  <c r="U126"/>
  <c r="U131"/>
  <c r="U144"/>
  <c r="V111"/>
  <c r="V21"/>
  <c r="S41" i="31"/>
  <c r="V35" i="29" s="1"/>
  <c r="T109" i="31"/>
  <c r="T22" s="1"/>
  <c r="T108"/>
  <c r="T21" s="1"/>
  <c r="T105"/>
  <c r="T18" s="1"/>
  <c r="T106"/>
  <c r="T19" s="1"/>
  <c r="W22" i="29" s="1"/>
  <c r="W110" s="1"/>
  <c r="W142" s="1"/>
  <c r="T107" i="31"/>
  <c r="T20" s="1"/>
  <c r="W23" i="29" s="1"/>
  <c r="T110" i="31"/>
  <c r="T23" s="1"/>
  <c r="W26" i="29" s="1"/>
  <c r="W195" s="1"/>
  <c r="T104" i="31"/>
  <c r="T17" s="1"/>
  <c r="W20" i="29" s="1"/>
  <c r="U109"/>
  <c r="V193"/>
  <c r="V197"/>
  <c r="V25"/>
  <c r="V112" s="1"/>
  <c r="V89" i="34"/>
  <c r="V94" s="1"/>
  <c r="W84"/>
  <c r="W86"/>
  <c r="W92" s="1"/>
  <c r="W85"/>
  <c r="W91" s="1"/>
  <c r="W72"/>
  <c r="W74" s="1"/>
  <c r="V76"/>
  <c r="V77" s="1"/>
  <c r="F331" i="29"/>
  <c r="AD137" i="45" l="1"/>
  <c r="X138" i="47"/>
  <c r="AD138" s="1"/>
  <c r="AD132"/>
  <c r="X136" i="46"/>
  <c r="AD136" s="1"/>
  <c r="AD130"/>
  <c r="V140" i="29"/>
  <c r="U198"/>
  <c r="R114" i="24"/>
  <c r="F373" i="29"/>
  <c r="V190"/>
  <c r="V192" s="1"/>
  <c r="W108"/>
  <c r="W124" s="1"/>
  <c r="T296" i="35"/>
  <c r="L172" i="34"/>
  <c r="L193"/>
  <c r="L196" s="1"/>
  <c r="L198" s="1"/>
  <c r="V171"/>
  <c r="V192"/>
  <c r="X137" i="46"/>
  <c r="AD137" s="1"/>
  <c r="AD131"/>
  <c r="T156" i="34"/>
  <c r="T157" s="1"/>
  <c r="P95" i="24"/>
  <c r="X139" i="47"/>
  <c r="AD139" s="1"/>
  <c r="AD133"/>
  <c r="K196" i="34"/>
  <c r="K198" s="1"/>
  <c r="U246" i="35"/>
  <c r="U275"/>
  <c r="U317" s="1"/>
  <c r="U172" i="34"/>
  <c r="U175" s="1"/>
  <c r="U177" s="1"/>
  <c r="U193"/>
  <c r="U196" s="1"/>
  <c r="U198" s="1"/>
  <c r="K156"/>
  <c r="G95" i="24"/>
  <c r="X138" i="45"/>
  <c r="AD138" s="1"/>
  <c r="AD132"/>
  <c r="V151" i="34"/>
  <c r="V365" i="29"/>
  <c r="V364"/>
  <c r="V363"/>
  <c r="V128" i="34"/>
  <c r="U128"/>
  <c r="U130" s="1"/>
  <c r="W150"/>
  <c r="M151"/>
  <c r="M128"/>
  <c r="M130" s="1"/>
  <c r="U296" i="35"/>
  <c r="V343" i="29"/>
  <c r="V342"/>
  <c r="V344"/>
  <c r="U154" i="34"/>
  <c r="L130"/>
  <c r="L132"/>
  <c r="L175"/>
  <c r="L177" s="1"/>
  <c r="L154"/>
  <c r="K175"/>
  <c r="K177" s="1"/>
  <c r="T132"/>
  <c r="V166"/>
  <c r="N128"/>
  <c r="W90"/>
  <c r="F352" i="29"/>
  <c r="X139" i="45"/>
  <c r="AD133"/>
  <c r="X140" i="47"/>
  <c r="AD134"/>
  <c r="X138" i="46"/>
  <c r="AD132"/>
  <c r="W24" i="29"/>
  <c r="V195" i="35"/>
  <c r="V201" s="1"/>
  <c r="V174"/>
  <c r="V239"/>
  <c r="V240" s="1"/>
  <c r="V241"/>
  <c r="V242" s="1"/>
  <c r="V243"/>
  <c r="V244" s="1"/>
  <c r="V193"/>
  <c r="V199" s="1"/>
  <c r="V194"/>
  <c r="V200" s="1"/>
  <c r="N200"/>
  <c r="T145" i="29"/>
  <c r="W290"/>
  <c r="V314"/>
  <c r="W288"/>
  <c r="V310"/>
  <c r="F287"/>
  <c r="F301"/>
  <c r="U141"/>
  <c r="U145" s="1"/>
  <c r="U125"/>
  <c r="U132" s="1"/>
  <c r="V131"/>
  <c r="V144"/>
  <c r="W111"/>
  <c r="W25"/>
  <c r="W112" s="1"/>
  <c r="V143"/>
  <c r="V126"/>
  <c r="W193"/>
  <c r="W197"/>
  <c r="U110" i="31"/>
  <c r="U23" s="1"/>
  <c r="X26" i="29" s="1"/>
  <c r="X195" s="1"/>
  <c r="U106" i="31"/>
  <c r="U19" s="1"/>
  <c r="X22" i="29" s="1"/>
  <c r="X110" s="1"/>
  <c r="X142" s="1"/>
  <c r="U109" i="31"/>
  <c r="U22" s="1"/>
  <c r="U107"/>
  <c r="U20" s="1"/>
  <c r="X23" i="29" s="1"/>
  <c r="U108" i="31"/>
  <c r="U21" s="1"/>
  <c r="U105"/>
  <c r="U18" s="1"/>
  <c r="U104"/>
  <c r="U17" s="1"/>
  <c r="X20" i="29" s="1"/>
  <c r="T41" i="31"/>
  <c r="W35" i="29" s="1"/>
  <c r="W21"/>
  <c r="V109"/>
  <c r="V102" i="31"/>
  <c r="W101"/>
  <c r="V130" i="34"/>
  <c r="W89"/>
  <c r="W94" s="1"/>
  <c r="X85"/>
  <c r="X91" s="1"/>
  <c r="X86"/>
  <c r="X92" s="1"/>
  <c r="X72"/>
  <c r="X74" s="1"/>
  <c r="X84"/>
  <c r="W76"/>
  <c r="W77" s="1"/>
  <c r="W151" l="1"/>
  <c r="W140" i="29"/>
  <c r="S114" i="24"/>
  <c r="V198" i="29"/>
  <c r="W190"/>
  <c r="W192" s="1"/>
  <c r="X108"/>
  <c r="X124" s="1"/>
  <c r="M132" i="34"/>
  <c r="K157"/>
  <c r="U156"/>
  <c r="U157" s="1"/>
  <c r="Q95" i="24"/>
  <c r="W171" i="34"/>
  <c r="W192"/>
  <c r="V275" i="35"/>
  <c r="V317" s="1"/>
  <c r="V246"/>
  <c r="L156" i="34"/>
  <c r="L157" s="1"/>
  <c r="H95" i="24"/>
  <c r="V172" i="34"/>
  <c r="V175" s="1"/>
  <c r="V177" s="1"/>
  <c r="V193"/>
  <c r="V196" s="1"/>
  <c r="V198" s="1"/>
  <c r="M172"/>
  <c r="M175" s="1"/>
  <c r="M177" s="1"/>
  <c r="M193"/>
  <c r="M196" s="1"/>
  <c r="M198" s="1"/>
  <c r="W363" i="29"/>
  <c r="W364"/>
  <c r="W365"/>
  <c r="M154" i="34"/>
  <c r="W128"/>
  <c r="X150"/>
  <c r="W342" i="29"/>
  <c r="W344"/>
  <c r="W343"/>
  <c r="N151" i="34"/>
  <c r="V154"/>
  <c r="U132"/>
  <c r="X90"/>
  <c r="W166"/>
  <c r="F289" i="29"/>
  <c r="AD140" i="47"/>
  <c r="AD139" i="45"/>
  <c r="AD138" i="46"/>
  <c r="X24" i="29"/>
  <c r="W241" i="35"/>
  <c r="W242" s="1"/>
  <c r="W243"/>
  <c r="W244" s="1"/>
  <c r="W195"/>
  <c r="W201" s="1"/>
  <c r="W174"/>
  <c r="W239"/>
  <c r="W240" s="1"/>
  <c r="W193"/>
  <c r="W199" s="1"/>
  <c r="W194"/>
  <c r="W200" s="1"/>
  <c r="F291" i="29"/>
  <c r="X288"/>
  <c r="W310"/>
  <c r="X290"/>
  <c r="W314"/>
  <c r="F303"/>
  <c r="F304" s="1"/>
  <c r="F308"/>
  <c r="W109"/>
  <c r="X25"/>
  <c r="X112" s="1"/>
  <c r="W131"/>
  <c r="W144"/>
  <c r="V104" i="31"/>
  <c r="V17" s="1"/>
  <c r="Y20" i="29" s="1"/>
  <c r="V105" i="31"/>
  <c r="V18" s="1"/>
  <c r="V106"/>
  <c r="V19" s="1"/>
  <c r="Y22" i="29" s="1"/>
  <c r="Y110" s="1"/>
  <c r="Y142" s="1"/>
  <c r="V110" i="31"/>
  <c r="V23" s="1"/>
  <c r="Y26" i="29" s="1"/>
  <c r="Y195" s="1"/>
  <c r="V107" i="31"/>
  <c r="V20" s="1"/>
  <c r="Y23" i="29" s="1"/>
  <c r="V109" i="31"/>
  <c r="V22" s="1"/>
  <c r="V108"/>
  <c r="V21" s="1"/>
  <c r="V141" i="29"/>
  <c r="V145" s="1"/>
  <c r="V125"/>
  <c r="V132" s="1"/>
  <c r="X111"/>
  <c r="X101" i="31"/>
  <c r="W102"/>
  <c r="X193" i="29"/>
  <c r="X197"/>
  <c r="W143"/>
  <c r="W126"/>
  <c r="U41" i="31"/>
  <c r="X35" i="29" s="1"/>
  <c r="X21"/>
  <c r="X89" i="34"/>
  <c r="V132"/>
  <c r="Y85"/>
  <c r="Y91" s="1"/>
  <c r="Y72"/>
  <c r="Y74" s="1"/>
  <c r="Y84"/>
  <c r="Y86"/>
  <c r="Y92" s="1"/>
  <c r="X76"/>
  <c r="X77" s="1"/>
  <c r="X94" l="1"/>
  <c r="X128" s="1"/>
  <c r="X140" i="29"/>
  <c r="V296" i="35"/>
  <c r="W198" i="29"/>
  <c r="T114" i="24"/>
  <c r="X190" i="29"/>
  <c r="X192" s="1"/>
  <c r="Y108"/>
  <c r="Y124" s="1"/>
  <c r="V156" i="34"/>
  <c r="V157" s="1"/>
  <c r="R95" i="24"/>
  <c r="X171" i="34"/>
  <c r="X192"/>
  <c r="W172"/>
  <c r="W175" s="1"/>
  <c r="W177" s="1"/>
  <c r="W193"/>
  <c r="W196" s="1"/>
  <c r="W198" s="1"/>
  <c r="W246" i="35"/>
  <c r="W275"/>
  <c r="W317" s="1"/>
  <c r="N172" i="34"/>
  <c r="N175" s="1"/>
  <c r="N177" s="1"/>
  <c r="N193"/>
  <c r="N196" s="1"/>
  <c r="N198" s="1"/>
  <c r="M156"/>
  <c r="M157" s="1"/>
  <c r="I95" i="24"/>
  <c r="X363" i="29"/>
  <c r="X365"/>
  <c r="X364"/>
  <c r="Y150" i="34"/>
  <c r="X343" i="29"/>
  <c r="X344"/>
  <c r="X342"/>
  <c r="W154" i="34"/>
  <c r="N130"/>
  <c r="N132"/>
  <c r="N154"/>
  <c r="W132"/>
  <c r="Y90"/>
  <c r="X166"/>
  <c r="Y24" i="29"/>
  <c r="X243" i="35"/>
  <c r="X244" s="1"/>
  <c r="X174"/>
  <c r="X195"/>
  <c r="X201" s="1"/>
  <c r="X239"/>
  <c r="X240" s="1"/>
  <c r="X241"/>
  <c r="X242" s="1"/>
  <c r="X193"/>
  <c r="X199" s="1"/>
  <c r="X194"/>
  <c r="X200" s="1"/>
  <c r="Y290" i="29"/>
  <c r="X314"/>
  <c r="F312"/>
  <c r="F316"/>
  <c r="Y288"/>
  <c r="X310"/>
  <c r="X109"/>
  <c r="Y193"/>
  <c r="Y197"/>
  <c r="W141"/>
  <c r="W145" s="1"/>
  <c r="W125"/>
  <c r="W132" s="1"/>
  <c r="Y111"/>
  <c r="X102" i="31"/>
  <c r="Y101"/>
  <c r="X143" i="29"/>
  <c r="X126"/>
  <c r="Y25"/>
  <c r="Y112" s="1"/>
  <c r="Y21"/>
  <c r="V41" i="31"/>
  <c r="Y35" i="29" s="1"/>
  <c r="W110" i="31"/>
  <c r="W23" s="1"/>
  <c r="Z26" i="29" s="1"/>
  <c r="Z195" s="1"/>
  <c r="W107" i="31"/>
  <c r="W20" s="1"/>
  <c r="Z23" i="29" s="1"/>
  <c r="W109" i="31"/>
  <c r="W22" s="1"/>
  <c r="W108"/>
  <c r="W21" s="1"/>
  <c r="W104"/>
  <c r="W17" s="1"/>
  <c r="Z20" i="29" s="1"/>
  <c r="W105" i="31"/>
  <c r="W18" s="1"/>
  <c r="W106"/>
  <c r="W19" s="1"/>
  <c r="Z22" i="29" s="1"/>
  <c r="Z110" s="1"/>
  <c r="Z142" s="1"/>
  <c r="X131"/>
  <c r="X144"/>
  <c r="W130" i="34"/>
  <c r="Y89"/>
  <c r="Y76"/>
  <c r="Y77" s="1"/>
  <c r="Z85"/>
  <c r="Z91" s="1"/>
  <c r="Z84"/>
  <c r="Z72"/>
  <c r="Z74" s="1"/>
  <c r="Z86"/>
  <c r="Z92" s="1"/>
  <c r="X151" l="1"/>
  <c r="X172" s="1"/>
  <c r="X175" s="1"/>
  <c r="X177" s="1"/>
  <c r="Y94"/>
  <c r="Y151" s="1"/>
  <c r="X198" i="29"/>
  <c r="U114" i="24"/>
  <c r="Y140" i="29"/>
  <c r="Y190"/>
  <c r="Y192" s="1"/>
  <c r="Z108"/>
  <c r="Z124" s="1"/>
  <c r="X275" i="35"/>
  <c r="X317" s="1"/>
  <c r="X246"/>
  <c r="W156" i="34"/>
  <c r="W157" s="1"/>
  <c r="S95" i="24"/>
  <c r="N156" i="34"/>
  <c r="N157" s="1"/>
  <c r="J95" i="24"/>
  <c r="Y171" i="34"/>
  <c r="Y192"/>
  <c r="W296" i="35"/>
  <c r="Y363" i="29"/>
  <c r="Y365"/>
  <c r="Y364"/>
  <c r="Z150" i="34"/>
  <c r="Y344" i="29"/>
  <c r="Y342"/>
  <c r="Y343"/>
  <c r="X132" i="34"/>
  <c r="X154"/>
  <c r="Y166"/>
  <c r="Z90"/>
  <c r="Z24" i="29"/>
  <c r="Y239" i="35"/>
  <c r="Y240" s="1"/>
  <c r="Y174"/>
  <c r="Y195"/>
  <c r="Y201" s="1"/>
  <c r="Y243"/>
  <c r="Y244" s="1"/>
  <c r="Y241"/>
  <c r="Y242" s="1"/>
  <c r="Y193"/>
  <c r="Y199" s="1"/>
  <c r="Y194"/>
  <c r="Y200" s="1"/>
  <c r="Z290" i="29"/>
  <c r="Y314"/>
  <c r="Z288"/>
  <c r="Y310"/>
  <c r="Z21"/>
  <c r="W41" i="31"/>
  <c r="Z35" i="29" s="1"/>
  <c r="Z111"/>
  <c r="Z101" i="31"/>
  <c r="Z102" s="1"/>
  <c r="Y102"/>
  <c r="Y143" i="29"/>
  <c r="Y126"/>
  <c r="X141"/>
  <c r="X145" s="1"/>
  <c r="X125"/>
  <c r="X132" s="1"/>
  <c r="Z25"/>
  <c r="Z112" s="1"/>
  <c r="Y131"/>
  <c r="Y144"/>
  <c r="Z193"/>
  <c r="Z197"/>
  <c r="Y109"/>
  <c r="X109" i="31"/>
  <c r="X22" s="1"/>
  <c r="X104"/>
  <c r="X17" s="1"/>
  <c r="AA20" i="29" s="1"/>
  <c r="X107" i="31"/>
  <c r="X20" s="1"/>
  <c r="AA23" i="29" s="1"/>
  <c r="X106" i="31"/>
  <c r="X19" s="1"/>
  <c r="AA22" i="29" s="1"/>
  <c r="AA110" s="1"/>
  <c r="AA142" s="1"/>
  <c r="X105" i="31"/>
  <c r="X18" s="1"/>
  <c r="X110"/>
  <c r="X23" s="1"/>
  <c r="AA26" i="29" s="1"/>
  <c r="AA195" s="1"/>
  <c r="X108" i="31"/>
  <c r="X21" s="1"/>
  <c r="Z89" i="34"/>
  <c r="Z94" s="1"/>
  <c r="X130"/>
  <c r="AA85"/>
  <c r="AA91" s="1"/>
  <c r="AA72"/>
  <c r="AA74" s="1"/>
  <c r="AA84"/>
  <c r="AA86"/>
  <c r="AA92" s="1"/>
  <c r="Z76"/>
  <c r="Z77" s="1"/>
  <c r="X193" l="1"/>
  <c r="X196" s="1"/>
  <c r="X198" s="1"/>
  <c r="Y128"/>
  <c r="Y132" s="1"/>
  <c r="Y193"/>
  <c r="Y196" s="1"/>
  <c r="Y198" s="1"/>
  <c r="Y154"/>
  <c r="Y156" s="1"/>
  <c r="Y172"/>
  <c r="Y175" s="1"/>
  <c r="Y177" s="1"/>
  <c r="Z140" i="29"/>
  <c r="Y198"/>
  <c r="V114" i="24"/>
  <c r="Z190" i="29"/>
  <c r="Z198" s="1"/>
  <c r="AA108"/>
  <c r="AA124" s="1"/>
  <c r="X296" i="35"/>
  <c r="X156" i="34"/>
  <c r="X157" s="1"/>
  <c r="T95" i="24"/>
  <c r="Z171" i="34"/>
  <c r="Z192"/>
  <c r="Y275" i="35"/>
  <c r="Y317" s="1"/>
  <c r="Y246"/>
  <c r="Z365" i="29"/>
  <c r="Z364"/>
  <c r="Z363"/>
  <c r="AA150" i="34"/>
  <c r="Z343" i="29"/>
  <c r="Z344"/>
  <c r="Z342"/>
  <c r="Z128" i="34"/>
  <c r="Z166"/>
  <c r="AA90"/>
  <c r="AA24" i="29"/>
  <c r="Z193" i="35"/>
  <c r="Z199" s="1"/>
  <c r="Z194"/>
  <c r="Z200" s="1"/>
  <c r="Z195"/>
  <c r="Z201" s="1"/>
  <c r="Z239"/>
  <c r="Z240" s="1"/>
  <c r="Z241"/>
  <c r="Z242" s="1"/>
  <c r="Z243"/>
  <c r="Z244" s="1"/>
  <c r="Z174"/>
  <c r="AA288" i="29"/>
  <c r="Z310"/>
  <c r="AA290"/>
  <c r="Z314"/>
  <c r="AA21"/>
  <c r="X41" i="31"/>
  <c r="AA35" i="29" s="1"/>
  <c r="AA25"/>
  <c r="AA112" s="1"/>
  <c r="Y125"/>
  <c r="Y132" s="1"/>
  <c r="Y141"/>
  <c r="Y145" s="1"/>
  <c r="Y108" i="31"/>
  <c r="Y21" s="1"/>
  <c r="Y104"/>
  <c r="Y17" s="1"/>
  <c r="AB20" i="29" s="1"/>
  <c r="Y105" i="31"/>
  <c r="Y18" s="1"/>
  <c r="Y110"/>
  <c r="Y23" s="1"/>
  <c r="AB26" i="29" s="1"/>
  <c r="AB195" s="1"/>
  <c r="Y106" i="31"/>
  <c r="Y19" s="1"/>
  <c r="AB22" i="29" s="1"/>
  <c r="AB110" s="1"/>
  <c r="AB142" s="1"/>
  <c r="Y109" i="31"/>
  <c r="Y22" s="1"/>
  <c r="Y107"/>
  <c r="Y20" s="1"/>
  <c r="AB23" i="29" s="1"/>
  <c r="Z109"/>
  <c r="AA193"/>
  <c r="AA197"/>
  <c r="Z131"/>
  <c r="Z144"/>
  <c r="AA111"/>
  <c r="Z109" i="31"/>
  <c r="Z22" s="1"/>
  <c r="Z106"/>
  <c r="Z19" s="1"/>
  <c r="AC22" i="29" s="1"/>
  <c r="Z107" i="31"/>
  <c r="Z20" s="1"/>
  <c r="AC23" i="29" s="1"/>
  <c r="Z108" i="31"/>
  <c r="Z21" s="1"/>
  <c r="Z104"/>
  <c r="Z17" s="1"/>
  <c r="AC20" i="29" s="1"/>
  <c r="Z110" i="31"/>
  <c r="Z23" s="1"/>
  <c r="AC26" i="29" s="1"/>
  <c r="Z105" i="31"/>
  <c r="Z18" s="1"/>
  <c r="Z143" i="29"/>
  <c r="Z126"/>
  <c r="Y130" i="34"/>
  <c r="AA89"/>
  <c r="AC72"/>
  <c r="AC84"/>
  <c r="AC86"/>
  <c r="AC85"/>
  <c r="AB84"/>
  <c r="AB86"/>
  <c r="AB92" s="1"/>
  <c r="AB72"/>
  <c r="AB74" s="1"/>
  <c r="AB85"/>
  <c r="AB91" s="1"/>
  <c r="AA76"/>
  <c r="AA77" s="1"/>
  <c r="Y157" l="1"/>
  <c r="AA94"/>
  <c r="U95" i="24"/>
  <c r="AC91" i="34"/>
  <c r="AD91" s="1"/>
  <c r="AD85"/>
  <c r="AC74"/>
  <c r="AD74" s="1"/>
  <c r="AD72"/>
  <c r="AC92"/>
  <c r="AD92" s="1"/>
  <c r="AD86"/>
  <c r="AD84"/>
  <c r="Z192" i="29"/>
  <c r="W114" i="24"/>
  <c r="AA140" i="29"/>
  <c r="AA190"/>
  <c r="AA192" s="1"/>
  <c r="AB108"/>
  <c r="AB124" s="1"/>
  <c r="Y296" i="35"/>
  <c r="Z246"/>
  <c r="Z275"/>
  <c r="Z317" s="1"/>
  <c r="AA171" i="34"/>
  <c r="AA192"/>
  <c r="AA364" i="29"/>
  <c r="AA365"/>
  <c r="AA363"/>
  <c r="AB150" i="34"/>
  <c r="AA343" i="29"/>
  <c r="AA342"/>
  <c r="AA344"/>
  <c r="AD23"/>
  <c r="Z132" i="34"/>
  <c r="Z151"/>
  <c r="AA128"/>
  <c r="AB90"/>
  <c r="AA166"/>
  <c r="AC90"/>
  <c r="AB24" i="29"/>
  <c r="AC24"/>
  <c r="AC190" s="1"/>
  <c r="AA239" i="35"/>
  <c r="AA240" s="1"/>
  <c r="AA241"/>
  <c r="AA242" s="1"/>
  <c r="AA243"/>
  <c r="AA244" s="1"/>
  <c r="AA174"/>
  <c r="AA195"/>
  <c r="AA201" s="1"/>
  <c r="AA194"/>
  <c r="AA200" s="1"/>
  <c r="AA193"/>
  <c r="AA199" s="1"/>
  <c r="AC108" i="29"/>
  <c r="AC140" s="1"/>
  <c r="AD20"/>
  <c r="AB290"/>
  <c r="AA314"/>
  <c r="AC195"/>
  <c r="AD195" s="1"/>
  <c r="AD26"/>
  <c r="AC110"/>
  <c r="AD22"/>
  <c r="AB288"/>
  <c r="AA310"/>
  <c r="AC25"/>
  <c r="AB111"/>
  <c r="Y41" i="31"/>
  <c r="AB35" i="29" s="1"/>
  <c r="AB21"/>
  <c r="AA109"/>
  <c r="Z141"/>
  <c r="Z145" s="1"/>
  <c r="Z125"/>
  <c r="Z132" s="1"/>
  <c r="AB193"/>
  <c r="AB197"/>
  <c r="AA131"/>
  <c r="AA144"/>
  <c r="Z41" i="31"/>
  <c r="AC35" i="29" s="1"/>
  <c r="AC21"/>
  <c r="AC111"/>
  <c r="AA143"/>
  <c r="AA126"/>
  <c r="AB25"/>
  <c r="AB112" s="1"/>
  <c r="AB89" i="34"/>
  <c r="AB94" s="1"/>
  <c r="AC89"/>
  <c r="AC76"/>
  <c r="AB76"/>
  <c r="AB77" s="1"/>
  <c r="AC94" l="1"/>
  <c r="AC150"/>
  <c r="D150" s="1"/>
  <c r="AD90"/>
  <c r="AA198" i="29"/>
  <c r="AC77" i="34"/>
  <c r="AD77" s="1"/>
  <c r="AD76"/>
  <c r="AD89"/>
  <c r="Y114" i="24"/>
  <c r="C63" s="1"/>
  <c r="AB140" i="29"/>
  <c r="AD140" s="1"/>
  <c r="X114" i="24"/>
  <c r="AB190" i="29"/>
  <c r="AB198" s="1"/>
  <c r="Z296" i="35"/>
  <c r="AA246"/>
  <c r="AA275"/>
  <c r="AA317" s="1"/>
  <c r="AB171" i="34"/>
  <c r="AB192"/>
  <c r="Z172"/>
  <c r="Z175" s="1"/>
  <c r="Z177" s="1"/>
  <c r="Z193"/>
  <c r="Z196" s="1"/>
  <c r="Z198" s="1"/>
  <c r="AC192"/>
  <c r="AB364" i="29"/>
  <c r="AB363"/>
  <c r="AB365"/>
  <c r="AD24"/>
  <c r="AC198"/>
  <c r="AB344"/>
  <c r="AB343"/>
  <c r="AB342"/>
  <c r="Z130" i="34"/>
  <c r="Z154"/>
  <c r="AA151"/>
  <c r="D174"/>
  <c r="H19" i="24" s="1"/>
  <c r="AB151" i="34"/>
  <c r="AB166"/>
  <c r="AC166"/>
  <c r="AD111" i="29"/>
  <c r="AC192"/>
  <c r="AD35"/>
  <c r="AB194" i="35"/>
  <c r="AB200" s="1"/>
  <c r="AB193"/>
  <c r="AB199" s="1"/>
  <c r="AB195"/>
  <c r="AB201" s="1"/>
  <c r="AB239"/>
  <c r="AB240" s="1"/>
  <c r="AB241"/>
  <c r="AB242" s="1"/>
  <c r="AB243"/>
  <c r="AB244" s="1"/>
  <c r="AB174"/>
  <c r="AC194"/>
  <c r="AC193"/>
  <c r="AD31"/>
  <c r="AC174"/>
  <c r="AC243"/>
  <c r="AC195"/>
  <c r="AC241"/>
  <c r="AC239"/>
  <c r="AD32"/>
  <c r="AD21" i="29"/>
  <c r="AC112"/>
  <c r="AD112" s="1"/>
  <c r="AD25"/>
  <c r="AC193"/>
  <c r="AD193" s="1"/>
  <c r="AC197"/>
  <c r="AD197" s="1"/>
  <c r="AC288"/>
  <c r="AB310"/>
  <c r="AC124"/>
  <c r="AD124" s="1"/>
  <c r="AD108"/>
  <c r="AC142"/>
  <c r="AD142" s="1"/>
  <c r="AD110"/>
  <c r="AC290"/>
  <c r="AB314"/>
  <c r="AC126"/>
  <c r="AC143"/>
  <c r="AB109"/>
  <c r="AC109"/>
  <c r="AA141"/>
  <c r="AA145" s="1"/>
  <c r="AA125"/>
  <c r="AA132" s="1"/>
  <c r="AB143"/>
  <c r="AB126"/>
  <c r="AC131"/>
  <c r="AB131"/>
  <c r="AB144"/>
  <c r="AA132" i="34"/>
  <c r="AC171" l="1"/>
  <c r="D171" s="1"/>
  <c r="H16" i="24" s="1"/>
  <c r="AD198" i="29"/>
  <c r="AC151" i="34"/>
  <c r="AC154" s="1"/>
  <c r="Y95" i="24" s="1"/>
  <c r="AD94" i="34"/>
  <c r="D63" i="24"/>
  <c r="AD190" i="29"/>
  <c r="AB192"/>
  <c r="AC128" i="34"/>
  <c r="AA296" i="35"/>
  <c r="Z156" i="34"/>
  <c r="Z157" s="1"/>
  <c r="V95" i="24"/>
  <c r="D192" i="34"/>
  <c r="AB172"/>
  <c r="AB175" s="1"/>
  <c r="AB177" s="1"/>
  <c r="AB193"/>
  <c r="AB196" s="1"/>
  <c r="AB198" s="1"/>
  <c r="AA172"/>
  <c r="AA175" s="1"/>
  <c r="AA177" s="1"/>
  <c r="AA193"/>
  <c r="AA196" s="1"/>
  <c r="AA198" s="1"/>
  <c r="AB246" i="35"/>
  <c r="AB275"/>
  <c r="AB317" s="1"/>
  <c r="AC365" i="29"/>
  <c r="D365" s="1"/>
  <c r="C30" i="24" s="1"/>
  <c r="AC364" i="29"/>
  <c r="D364" s="1"/>
  <c r="C29" i="24" s="1"/>
  <c r="AC363" i="29"/>
  <c r="D363" s="1"/>
  <c r="C28" i="24" s="1"/>
  <c r="AB128" i="34"/>
  <c r="AC342" i="29"/>
  <c r="D342" s="1"/>
  <c r="AC344"/>
  <c r="D344" s="1"/>
  <c r="C9" i="24" s="1"/>
  <c r="AC343" i="29"/>
  <c r="D343" s="1"/>
  <c r="C8" i="24" s="1"/>
  <c r="AC144" i="29"/>
  <c r="AD144" s="1"/>
  <c r="AA130" i="34"/>
  <c r="AA154"/>
  <c r="AB154"/>
  <c r="E134"/>
  <c r="D165"/>
  <c r="AC201" i="35"/>
  <c r="AD201" s="1"/>
  <c r="AD195"/>
  <c r="AC242"/>
  <c r="AD242" s="1"/>
  <c r="AD241"/>
  <c r="AC240"/>
  <c r="AD239"/>
  <c r="AD174"/>
  <c r="AC199"/>
  <c r="AD199" s="1"/>
  <c r="AD193"/>
  <c r="AC200"/>
  <c r="AD200" s="1"/>
  <c r="AD194"/>
  <c r="AC244"/>
  <c r="AD244" s="1"/>
  <c r="AD243"/>
  <c r="AC310" i="29"/>
  <c r="AD310" s="1"/>
  <c r="AE288"/>
  <c r="AD131"/>
  <c r="AD126"/>
  <c r="AC314"/>
  <c r="AD314" s="1"/>
  <c r="AE290"/>
  <c r="AD109"/>
  <c r="AD143"/>
  <c r="AC125"/>
  <c r="AC141"/>
  <c r="AB141"/>
  <c r="AB145" s="1"/>
  <c r="AB125"/>
  <c r="AB132" s="1"/>
  <c r="AC172" i="34" l="1"/>
  <c r="AC175" s="1"/>
  <c r="AC177" s="1"/>
  <c r="AC193"/>
  <c r="D193" s="1"/>
  <c r="H38" i="24" s="1"/>
  <c r="AC156" i="34"/>
  <c r="D151"/>
  <c r="D146" s="1"/>
  <c r="E128"/>
  <c r="AB132"/>
  <c r="AC157"/>
  <c r="AC132"/>
  <c r="AC130"/>
  <c r="AB296" i="35"/>
  <c r="AD192" i="29"/>
  <c r="AA156" i="34"/>
  <c r="AA157" s="1"/>
  <c r="W95" i="24"/>
  <c r="D177" i="34"/>
  <c r="AC275" i="35"/>
  <c r="AC246"/>
  <c r="AD246" s="1"/>
  <c r="AB156" i="34"/>
  <c r="D176" s="1"/>
  <c r="H21" i="24" s="1"/>
  <c r="X95"/>
  <c r="H37"/>
  <c r="D161" i="34"/>
  <c r="H6" i="24" s="1"/>
  <c r="H10"/>
  <c r="C7"/>
  <c r="AB130" i="34"/>
  <c r="AD240" i="35"/>
  <c r="AF288" i="29"/>
  <c r="AE310"/>
  <c r="AC132"/>
  <c r="AD125"/>
  <c r="AC145"/>
  <c r="AD141"/>
  <c r="AE314"/>
  <c r="AF290"/>
  <c r="D172" i="34" l="1"/>
  <c r="E132"/>
  <c r="AC196"/>
  <c r="AC198" s="1"/>
  <c r="D198" s="1"/>
  <c r="H43" i="24" s="1"/>
  <c r="E130" i="34"/>
  <c r="AC317" i="35"/>
  <c r="D317" s="1"/>
  <c r="G40" i="24" s="1"/>
  <c r="D275" i="35"/>
  <c r="D188" i="34"/>
  <c r="H33" i="24" s="1"/>
  <c r="D199" i="34"/>
  <c r="H44" i="24" s="1"/>
  <c r="AC296" i="35"/>
  <c r="D296" s="1"/>
  <c r="G19" i="24" s="1"/>
  <c r="D197" i="34"/>
  <c r="H42" i="24" s="1"/>
  <c r="AB157" i="34"/>
  <c r="D156"/>
  <c r="H22" i="24" s="1"/>
  <c r="D167" i="34"/>
  <c r="H12" i="24" s="1"/>
  <c r="H17"/>
  <c r="AD145" i="29"/>
  <c r="D178" i="34"/>
  <c r="H23" i="24" s="1"/>
  <c r="AF310" i="29"/>
  <c r="AG288"/>
  <c r="AG290"/>
  <c r="AF314"/>
  <c r="AD132"/>
  <c r="AH288" l="1"/>
  <c r="AG310"/>
  <c r="AH290"/>
  <c r="AG314"/>
  <c r="AH314" l="1"/>
  <c r="AI290"/>
  <c r="AI288"/>
  <c r="AH310"/>
  <c r="AJ290" l="1"/>
  <c r="AI314"/>
  <c r="AI310"/>
  <c r="AJ288"/>
  <c r="AF311"/>
  <c r="AF315"/>
  <c r="AG311" l="1"/>
  <c r="AG315"/>
  <c r="AG316"/>
  <c r="AG312"/>
  <c r="AH315"/>
  <c r="AH311"/>
  <c r="AF312"/>
  <c r="AF316"/>
  <c r="AK288"/>
  <c r="AJ310"/>
  <c r="AK290"/>
  <c r="AJ314"/>
  <c r="AH316" l="1"/>
  <c r="AH312"/>
  <c r="AI316"/>
  <c r="AI312"/>
  <c r="AL290"/>
  <c r="AK314"/>
  <c r="AI311"/>
  <c r="AI315"/>
  <c r="AJ315"/>
  <c r="AJ311"/>
  <c r="AL288"/>
  <c r="AK310"/>
  <c r="AK312" l="1"/>
  <c r="AK316"/>
  <c r="AM288"/>
  <c r="AL310"/>
  <c r="AM290"/>
  <c r="AL314"/>
  <c r="AK311"/>
  <c r="AK315"/>
  <c r="AL312"/>
  <c r="AL316"/>
  <c r="AJ312"/>
  <c r="AJ316"/>
  <c r="AL311"/>
  <c r="AL315"/>
  <c r="AN290" l="1"/>
  <c r="AN315" s="1"/>
  <c r="AM314"/>
  <c r="AM316"/>
  <c r="AM312"/>
  <c r="AM311"/>
  <c r="AM315"/>
  <c r="AN288"/>
  <c r="AN311" s="1"/>
  <c r="AM310"/>
  <c r="AN312" l="1"/>
  <c r="AN316"/>
  <c r="AO288"/>
  <c r="AO311" s="1"/>
  <c r="AN310"/>
  <c r="AO290"/>
  <c r="AN314"/>
  <c r="AP290" l="1"/>
  <c r="AO314"/>
  <c r="AP288"/>
  <c r="AO310"/>
  <c r="AO316"/>
  <c r="AO312"/>
  <c r="AO315"/>
  <c r="AQ288" l="1"/>
  <c r="AP310"/>
  <c r="AP311"/>
  <c r="AP312"/>
  <c r="AQ290"/>
  <c r="AP314"/>
  <c r="AP316"/>
  <c r="AP315"/>
  <c r="AR290" l="1"/>
  <c r="AQ314"/>
  <c r="AQ316"/>
  <c r="AQ315"/>
  <c r="AR288"/>
  <c r="AQ310"/>
  <c r="AQ311"/>
  <c r="AQ312"/>
  <c r="AS290" l="1"/>
  <c r="AR314"/>
  <c r="AR316"/>
  <c r="AR315"/>
  <c r="AS288"/>
  <c r="AR310"/>
  <c r="AR311"/>
  <c r="AR312"/>
  <c r="AT288" l="1"/>
  <c r="AS310"/>
  <c r="AS312"/>
  <c r="AS311"/>
  <c r="AT290"/>
  <c r="AS314"/>
  <c r="AS316"/>
  <c r="AS315"/>
  <c r="AU290" l="1"/>
  <c r="AT314"/>
  <c r="AT316"/>
  <c r="AT315"/>
  <c r="AU288"/>
  <c r="AT310"/>
  <c r="AT312"/>
  <c r="AT311"/>
  <c r="AV288" l="1"/>
  <c r="AU310"/>
  <c r="AU311"/>
  <c r="AU312"/>
  <c r="AV290"/>
  <c r="AU314"/>
  <c r="AU316"/>
  <c r="AU315"/>
  <c r="AW290" l="1"/>
  <c r="AV314"/>
  <c r="AV316"/>
  <c r="AV315"/>
  <c r="AW288"/>
  <c r="AV310"/>
  <c r="AV312"/>
  <c r="AV311"/>
  <c r="AX288" l="1"/>
  <c r="AY288" s="1"/>
  <c r="AW310"/>
  <c r="AW312"/>
  <c r="AW311"/>
  <c r="AX290"/>
  <c r="AY290" s="1"/>
  <c r="AW314"/>
  <c r="AW316"/>
  <c r="AW315"/>
  <c r="AY314" l="1"/>
  <c r="AZ290"/>
  <c r="AY315"/>
  <c r="AY316"/>
  <c r="AZ288"/>
  <c r="AY312"/>
  <c r="AY311"/>
  <c r="AY310"/>
  <c r="AX314"/>
  <c r="AX316"/>
  <c r="AX315"/>
  <c r="AX310"/>
  <c r="AX311"/>
  <c r="AX312"/>
  <c r="BA290" l="1"/>
  <c r="AZ314"/>
  <c r="AZ316"/>
  <c r="AZ315"/>
  <c r="BA288"/>
  <c r="AZ312"/>
  <c r="AZ311"/>
  <c r="AZ310"/>
  <c r="D26" i="32"/>
  <c r="G38" i="35" s="1"/>
  <c r="BB290" i="29" l="1"/>
  <c r="BA316"/>
  <c r="BA315"/>
  <c r="BA314"/>
  <c r="BB288"/>
  <c r="BA311"/>
  <c r="BA310"/>
  <c r="BA312"/>
  <c r="BC288" l="1"/>
  <c r="BB311"/>
  <c r="BB310"/>
  <c r="BB312"/>
  <c r="BC290"/>
  <c r="BB315"/>
  <c r="BB316"/>
  <c r="BB314"/>
  <c r="G177" i="35"/>
  <c r="G183" s="1"/>
  <c r="G33"/>
  <c r="G185" s="1"/>
  <c r="G186" s="1"/>
  <c r="G273" s="1"/>
  <c r="BD290" i="29" l="1"/>
  <c r="BC314"/>
  <c r="BC315"/>
  <c r="BC316"/>
  <c r="BD288"/>
  <c r="BC312"/>
  <c r="BC311"/>
  <c r="BC310"/>
  <c r="G294" i="35"/>
  <c r="G315"/>
  <c r="G272"/>
  <c r="G314" s="1"/>
  <c r="G250"/>
  <c r="G252" s="1"/>
  <c r="G318" l="1"/>
  <c r="G320" s="1"/>
  <c r="BE288" i="29"/>
  <c r="BD312"/>
  <c r="BD311"/>
  <c r="BD310"/>
  <c r="BE290"/>
  <c r="BD314"/>
  <c r="BD316"/>
  <c r="BD315"/>
  <c r="G293" i="35"/>
  <c r="G297" s="1"/>
  <c r="G299" s="1"/>
  <c r="G276"/>
  <c r="G254"/>
  <c r="AC37"/>
  <c r="T26" i="32"/>
  <c r="P26"/>
  <c r="G26"/>
  <c r="R26"/>
  <c r="V26"/>
  <c r="H181" i="35"/>
  <c r="E26" i="32"/>
  <c r="N26"/>
  <c r="I26"/>
  <c r="K26"/>
  <c r="U26"/>
  <c r="Z26"/>
  <c r="Z27" s="1"/>
  <c r="Q26"/>
  <c r="L26"/>
  <c r="H26"/>
  <c r="O26"/>
  <c r="S26"/>
  <c r="X26"/>
  <c r="M26"/>
  <c r="J26"/>
  <c r="W26"/>
  <c r="Y26"/>
  <c r="BF290" i="29" l="1"/>
  <c r="BE316"/>
  <c r="BE315"/>
  <c r="BE314"/>
  <c r="BF288"/>
  <c r="BE311"/>
  <c r="BE310"/>
  <c r="BE312"/>
  <c r="G278" i="35"/>
  <c r="G279" s="1"/>
  <c r="C93" i="24"/>
  <c r="H265" i="35"/>
  <c r="H307" s="1"/>
  <c r="H309" s="1"/>
  <c r="T27" i="32"/>
  <c r="W39" i="35" s="1"/>
  <c r="W38"/>
  <c r="V38"/>
  <c r="S27" i="32"/>
  <c r="V39" i="35" s="1"/>
  <c r="M27" i="32"/>
  <c r="P39" i="35" s="1"/>
  <c r="P38"/>
  <c r="H27" i="32"/>
  <c r="K39" i="35" s="1"/>
  <c r="K177" s="1"/>
  <c r="K183" s="1"/>
  <c r="K272" s="1"/>
  <c r="K314" s="1"/>
  <c r="K38"/>
  <c r="U27" i="32"/>
  <c r="X39" i="35" s="1"/>
  <c r="X38"/>
  <c r="E27" i="32"/>
  <c r="H39" i="35" s="1"/>
  <c r="H177" s="1"/>
  <c r="H183" s="1"/>
  <c r="H272" s="1"/>
  <c r="H314" s="1"/>
  <c r="H38"/>
  <c r="J38"/>
  <c r="G27" i="32"/>
  <c r="J39" i="35" s="1"/>
  <c r="R38"/>
  <c r="O27" i="32"/>
  <c r="R39" i="35" s="1"/>
  <c r="R177" s="1"/>
  <c r="R183" s="1"/>
  <c r="R272" s="1"/>
  <c r="R314" s="1"/>
  <c r="R27" i="32"/>
  <c r="U39" i="35" s="1"/>
  <c r="U38"/>
  <c r="Z38"/>
  <c r="W27" i="32"/>
  <c r="Z39" i="35" s="1"/>
  <c r="Z177" s="1"/>
  <c r="Z183" s="1"/>
  <c r="Z272" s="1"/>
  <c r="Z314" s="1"/>
  <c r="Q27" i="32"/>
  <c r="T39" i="35" s="1"/>
  <c r="T38"/>
  <c r="I27" i="32"/>
  <c r="L39" i="35" s="1"/>
  <c r="L38"/>
  <c r="V27" i="32"/>
  <c r="Y39" i="35" s="1"/>
  <c r="Y38"/>
  <c r="J27" i="32"/>
  <c r="M39" i="35" s="1"/>
  <c r="M177" s="1"/>
  <c r="M183" s="1"/>
  <c r="M272" s="1"/>
  <c r="M314" s="1"/>
  <c r="M38"/>
  <c r="N27" i="32"/>
  <c r="Q39" i="35" s="1"/>
  <c r="Q38"/>
  <c r="Y27" i="32"/>
  <c r="AB39" i="35" s="1"/>
  <c r="AB38"/>
  <c r="X27" i="32"/>
  <c r="AA39" i="35" s="1"/>
  <c r="AA38"/>
  <c r="L27" i="32"/>
  <c r="O39" i="35" s="1"/>
  <c r="O38"/>
  <c r="N38"/>
  <c r="K27" i="32"/>
  <c r="N39" i="35" s="1"/>
  <c r="P27" i="32"/>
  <c r="S39" i="35" s="1"/>
  <c r="S177" s="1"/>
  <c r="S183" s="1"/>
  <c r="S272" s="1"/>
  <c r="S314" s="1"/>
  <c r="S38"/>
  <c r="Z33"/>
  <c r="Z185" s="1"/>
  <c r="Z186" s="1"/>
  <c r="S33"/>
  <c r="S185" s="1"/>
  <c r="S186" s="1"/>
  <c r="X177"/>
  <c r="X183" s="1"/>
  <c r="X272" s="1"/>
  <c r="X314" s="1"/>
  <c r="X33"/>
  <c r="X185" s="1"/>
  <c r="X186" s="1"/>
  <c r="K33"/>
  <c r="K185" s="1"/>
  <c r="K186" s="1"/>
  <c r="M33"/>
  <c r="M185" s="1"/>
  <c r="M186" s="1"/>
  <c r="T177"/>
  <c r="T183" s="1"/>
  <c r="T272" s="1"/>
  <c r="T314" s="1"/>
  <c r="T33"/>
  <c r="T185" s="1"/>
  <c r="T186" s="1"/>
  <c r="R33"/>
  <c r="R185" s="1"/>
  <c r="R186" s="1"/>
  <c r="H33"/>
  <c r="Y177"/>
  <c r="Y183" s="1"/>
  <c r="Y272" s="1"/>
  <c r="Y314" s="1"/>
  <c r="Y33"/>
  <c r="Y185" s="1"/>
  <c r="Y186" s="1"/>
  <c r="BG288" i="29" l="1"/>
  <c r="BF311"/>
  <c r="BF310"/>
  <c r="BF312"/>
  <c r="BG290"/>
  <c r="BF315"/>
  <c r="BF316"/>
  <c r="BF314"/>
  <c r="Z293" i="35"/>
  <c r="R293"/>
  <c r="T293"/>
  <c r="K293"/>
  <c r="S293"/>
  <c r="Y293"/>
  <c r="M293"/>
  <c r="X293"/>
  <c r="H293"/>
  <c r="H286"/>
  <c r="H288" s="1"/>
  <c r="H267"/>
  <c r="D92" i="24" s="1"/>
  <c r="AA177" i="35"/>
  <c r="AA183" s="1"/>
  <c r="AA272" s="1"/>
  <c r="AA314" s="1"/>
  <c r="AA33"/>
  <c r="AA185" s="1"/>
  <c r="AA186" s="1"/>
  <c r="W177"/>
  <c r="W183" s="1"/>
  <c r="W272" s="1"/>
  <c r="W314" s="1"/>
  <c r="W33"/>
  <c r="W185" s="1"/>
  <c r="W186" s="1"/>
  <c r="Q177"/>
  <c r="Q183" s="1"/>
  <c r="Q272" s="1"/>
  <c r="Q314" s="1"/>
  <c r="Q33"/>
  <c r="Q185" s="1"/>
  <c r="Q186" s="1"/>
  <c r="U177"/>
  <c r="U183" s="1"/>
  <c r="U272" s="1"/>
  <c r="U314" s="1"/>
  <c r="U33"/>
  <c r="U185" s="1"/>
  <c r="U186" s="1"/>
  <c r="V177"/>
  <c r="V183" s="1"/>
  <c r="V272" s="1"/>
  <c r="V314" s="1"/>
  <c r="V33"/>
  <c r="V185" s="1"/>
  <c r="V186" s="1"/>
  <c r="J177"/>
  <c r="J183" s="1"/>
  <c r="J272" s="1"/>
  <c r="J314" s="1"/>
  <c r="J33"/>
  <c r="J185" s="1"/>
  <c r="J186" s="1"/>
  <c r="H185"/>
  <c r="AC38"/>
  <c r="BH288" i="29" l="1"/>
  <c r="BG312"/>
  <c r="BG311"/>
  <c r="BG310"/>
  <c r="BG314"/>
  <c r="BG315"/>
  <c r="BG316"/>
  <c r="BH290"/>
  <c r="V293" i="35"/>
  <c r="Q293"/>
  <c r="W293"/>
  <c r="AA293"/>
  <c r="U293"/>
  <c r="J293"/>
  <c r="N177"/>
  <c r="N183" s="1"/>
  <c r="N272" s="1"/>
  <c r="N314" s="1"/>
  <c r="N33"/>
  <c r="N185" s="1"/>
  <c r="N186" s="1"/>
  <c r="AB177"/>
  <c r="AB183" s="1"/>
  <c r="AB272" s="1"/>
  <c r="AB314" s="1"/>
  <c r="AB33"/>
  <c r="AB185" s="1"/>
  <c r="AB186" s="1"/>
  <c r="AC39"/>
  <c r="AC177" s="1"/>
  <c r="AC183" s="1"/>
  <c r="AC272" s="1"/>
  <c r="AC314" s="1"/>
  <c r="AC33"/>
  <c r="AC185" s="1"/>
  <c r="AC186" s="1"/>
  <c r="H186"/>
  <c r="H273" s="1"/>
  <c r="H315" s="1"/>
  <c r="H318" s="1"/>
  <c r="H320" s="1"/>
  <c r="L177"/>
  <c r="L183" s="1"/>
  <c r="L272" s="1"/>
  <c r="L314" s="1"/>
  <c r="L33"/>
  <c r="L185" s="1"/>
  <c r="L186" s="1"/>
  <c r="P177"/>
  <c r="P183" s="1"/>
  <c r="P272" s="1"/>
  <c r="P314" s="1"/>
  <c r="P33"/>
  <c r="P185" s="1"/>
  <c r="P186" s="1"/>
  <c r="O177"/>
  <c r="O183" s="1"/>
  <c r="O272" s="1"/>
  <c r="O314" s="1"/>
  <c r="O33"/>
  <c r="O185" s="1"/>
  <c r="O186" s="1"/>
  <c r="BH311" i="29" l="1"/>
  <c r="BH312"/>
  <c r="BH310"/>
  <c r="BK310" s="1"/>
  <c r="BH316"/>
  <c r="BH315"/>
  <c r="BH314"/>
  <c r="BK314" s="1"/>
  <c r="P293" i="35"/>
  <c r="H294"/>
  <c r="H297" s="1"/>
  <c r="H299" s="1"/>
  <c r="H276"/>
  <c r="AB293"/>
  <c r="O293"/>
  <c r="L293"/>
  <c r="AC293"/>
  <c r="N293"/>
  <c r="H250"/>
  <c r="H278" l="1"/>
  <c r="H279" s="1"/>
  <c r="D93" i="24"/>
  <c r="H252" i="35"/>
  <c r="H254"/>
  <c r="F181" l="1"/>
  <c r="C26" i="32"/>
  <c r="F38" i="35" s="1"/>
  <c r="AD38" s="1"/>
  <c r="F265" l="1"/>
  <c r="AD181"/>
  <c r="AD37"/>
  <c r="F307" l="1"/>
  <c r="F309" s="1"/>
  <c r="D265"/>
  <c r="D262" s="1"/>
  <c r="F286"/>
  <c r="F267"/>
  <c r="B92" i="24" s="1"/>
  <c r="B97" s="1"/>
  <c r="F33" i="35"/>
  <c r="AD39"/>
  <c r="F177"/>
  <c r="D307" l="1"/>
  <c r="D304" s="1"/>
  <c r="G27" i="24" s="1"/>
  <c r="F288" i="35"/>
  <c r="D286"/>
  <c r="F185"/>
  <c r="AD33"/>
  <c r="AD177"/>
  <c r="F183"/>
  <c r="F272" s="1"/>
  <c r="F314" l="1"/>
  <c r="D314" s="1"/>
  <c r="G37" i="24" s="1"/>
  <c r="D272" i="35"/>
  <c r="G30" i="24"/>
  <c r="G9"/>
  <c r="D283" i="35"/>
  <c r="G6" i="24" s="1"/>
  <c r="F293" i="35"/>
  <c r="F186"/>
  <c r="AD185"/>
  <c r="AD183"/>
  <c r="AD186" l="1"/>
  <c r="F273"/>
  <c r="D293"/>
  <c r="F250"/>
  <c r="F315" l="1"/>
  <c r="F294"/>
  <c r="F276"/>
  <c r="G16" i="24"/>
  <c r="F252" i="35"/>
  <c r="F254"/>
  <c r="F318" l="1"/>
  <c r="F320" s="1"/>
  <c r="F278"/>
  <c r="B93" i="24"/>
  <c r="F297" i="35"/>
  <c r="F299" s="1"/>
  <c r="F279" l="1"/>
  <c r="J51" i="40" l="1"/>
  <c r="J48"/>
  <c r="J68" s="1"/>
  <c r="J49"/>
  <c r="J47"/>
  <c r="J60" s="1"/>
  <c r="J50"/>
  <c r="J52"/>
  <c r="T50"/>
  <c r="T48"/>
  <c r="T68" s="1"/>
  <c r="T52"/>
  <c r="T47"/>
  <c r="T60" s="1"/>
  <c r="T49"/>
  <c r="T51"/>
  <c r="F160" i="46"/>
  <c r="AD157"/>
  <c r="F171"/>
  <c r="AD172"/>
  <c r="T62" i="40" l="1"/>
  <c r="T6" s="1"/>
  <c r="T5"/>
  <c r="W10" i="44" s="1"/>
  <c r="T63" i="40"/>
  <c r="T7" s="1"/>
  <c r="W12" i="44" s="1"/>
  <c r="J5" i="40"/>
  <c r="M10" i="44" s="1"/>
  <c r="J63" i="40"/>
  <c r="J7" s="1"/>
  <c r="M12" i="44" s="1"/>
  <c r="J62" i="40"/>
  <c r="J6" s="1"/>
  <c r="T69"/>
  <c r="T12" s="1"/>
  <c r="W16" i="44" s="1"/>
  <c r="T11" i="40"/>
  <c r="W15" i="44" s="1"/>
  <c r="T70" i="40"/>
  <c r="T13" s="1"/>
  <c r="W17" i="44" s="1"/>
  <c r="W97" s="1"/>
  <c r="J11" i="40"/>
  <c r="M15" i="44" s="1"/>
  <c r="J70" i="40"/>
  <c r="J13" s="1"/>
  <c r="M17" i="44" s="1"/>
  <c r="M97" s="1"/>
  <c r="J69" i="40"/>
  <c r="J12" s="1"/>
  <c r="M16" i="44" s="1"/>
  <c r="F158" i="46"/>
  <c r="AD160"/>
  <c r="F173"/>
  <c r="AD170"/>
  <c r="AD171"/>
  <c r="AD159"/>
  <c r="F183" l="1"/>
  <c r="F187" s="1"/>
  <c r="M39" i="44"/>
  <c r="M91"/>
  <c r="M94" s="1"/>
  <c r="W39"/>
  <c r="W91"/>
  <c r="W94" s="1"/>
  <c r="M68"/>
  <c r="M140"/>
  <c r="M207" s="1"/>
  <c r="M159"/>
  <c r="M161"/>
  <c r="M162" s="1"/>
  <c r="W165"/>
  <c r="W167"/>
  <c r="W65"/>
  <c r="W93"/>
  <c r="W100"/>
  <c r="W99"/>
  <c r="M165"/>
  <c r="M65"/>
  <c r="M167"/>
  <c r="M93"/>
  <c r="W11"/>
  <c r="T20" i="40"/>
  <c r="T18"/>
  <c r="T21"/>
  <c r="M99" i="44"/>
  <c r="M100"/>
  <c r="W159"/>
  <c r="W68"/>
  <c r="W161"/>
  <c r="W162" s="1"/>
  <c r="W140"/>
  <c r="W207" s="1"/>
  <c r="J21" i="40"/>
  <c r="M11" i="44"/>
  <c r="J20" i="40"/>
  <c r="J18"/>
  <c r="AD158" i="46"/>
  <c r="F211"/>
  <c r="G215"/>
  <c r="G189"/>
  <c r="G191"/>
  <c r="AD173"/>
  <c r="H191"/>
  <c r="H215"/>
  <c r="H189"/>
  <c r="I189"/>
  <c r="I191"/>
  <c r="I215"/>
  <c r="W160" i="44" l="1"/>
  <c r="M160"/>
  <c r="F253" i="46"/>
  <c r="D211"/>
  <c r="M23" i="44"/>
  <c r="J22" i="40"/>
  <c r="M24" i="44" s="1"/>
  <c r="W41"/>
  <c r="W148"/>
  <c r="W149" s="1"/>
  <c r="W146"/>
  <c r="W147" s="1"/>
  <c r="M84"/>
  <c r="M85" s="1"/>
  <c r="M77"/>
  <c r="M78" s="1"/>
  <c r="M41"/>
  <c r="M148"/>
  <c r="M149" s="1"/>
  <c r="M146"/>
  <c r="M147" s="1"/>
  <c r="W77"/>
  <c r="W78" s="1"/>
  <c r="W84"/>
  <c r="W85" s="1"/>
  <c r="W22"/>
  <c r="M228"/>
  <c r="M249"/>
  <c r="M22"/>
  <c r="T19" i="40"/>
  <c r="W21" i="44" s="1"/>
  <c r="S119" i="24" s="1"/>
  <c r="W20" i="44"/>
  <c r="M102"/>
  <c r="M204" s="1"/>
  <c r="J19" i="40"/>
  <c r="M21" i="44" s="1"/>
  <c r="I119" i="24" s="1"/>
  <c r="M20" i="44"/>
  <c r="W249"/>
  <c r="W228"/>
  <c r="W23"/>
  <c r="T22" i="40"/>
  <c r="W24" i="44" s="1"/>
  <c r="W102"/>
  <c r="W204" s="1"/>
  <c r="F232" i="46"/>
  <c r="F212"/>
  <c r="AD183"/>
  <c r="M117" i="44" l="1"/>
  <c r="M118" s="1"/>
  <c r="W117"/>
  <c r="W118" s="1"/>
  <c r="M199"/>
  <c r="M200" s="1"/>
  <c r="I90" i="24" s="1"/>
  <c r="W175" i="44"/>
  <c r="W176" s="1"/>
  <c r="W173"/>
  <c r="W174" s="1"/>
  <c r="W106"/>
  <c r="W171"/>
  <c r="W127"/>
  <c r="W133" s="1"/>
  <c r="M50"/>
  <c r="M51" s="1"/>
  <c r="M202" s="1"/>
  <c r="M57"/>
  <c r="M58" s="1"/>
  <c r="M203" s="1"/>
  <c r="W57"/>
  <c r="W58" s="1"/>
  <c r="W203" s="1"/>
  <c r="W50"/>
  <c r="W51" s="1"/>
  <c r="W202" s="1"/>
  <c r="M173"/>
  <c r="M174" s="1"/>
  <c r="M171"/>
  <c r="M106"/>
  <c r="M175"/>
  <c r="M176" s="1"/>
  <c r="M127"/>
  <c r="M133" s="1"/>
  <c r="W199"/>
  <c r="M241"/>
  <c r="W246"/>
  <c r="W225"/>
  <c r="M225"/>
  <c r="M246"/>
  <c r="M125"/>
  <c r="M131" s="1"/>
  <c r="M126"/>
  <c r="M132" s="1"/>
  <c r="W125"/>
  <c r="W131" s="1"/>
  <c r="W126"/>
  <c r="W132" s="1"/>
  <c r="F214" i="46"/>
  <c r="B89" i="24"/>
  <c r="D232" i="46"/>
  <c r="F233"/>
  <c r="F235" s="1"/>
  <c r="F191"/>
  <c r="F189"/>
  <c r="M172" i="44" l="1"/>
  <c r="W172"/>
  <c r="F215" i="46"/>
  <c r="M220" i="44"/>
  <c r="M221" s="1"/>
  <c r="W115"/>
  <c r="W205" s="1"/>
  <c r="W226" s="1"/>
  <c r="M223"/>
  <c r="M244"/>
  <c r="W200"/>
  <c r="S90" i="24" s="1"/>
  <c r="W241" i="44"/>
  <c r="W220"/>
  <c r="W221" s="1"/>
  <c r="W245"/>
  <c r="W224"/>
  <c r="M224"/>
  <c r="M245"/>
  <c r="M115"/>
  <c r="M205" s="1"/>
  <c r="W223"/>
  <c r="W244"/>
  <c r="E19" i="24"/>
  <c r="W247" i="44" l="1"/>
  <c r="M226"/>
  <c r="M247"/>
  <c r="F172" i="45"/>
  <c r="AD173"/>
  <c r="F174"/>
  <c r="AD174" l="1"/>
  <c r="AD172"/>
  <c r="AD171"/>
  <c r="W168" i="44" l="1"/>
  <c r="F168"/>
  <c r="M166"/>
  <c r="F166"/>
  <c r="W166"/>
  <c r="M168"/>
  <c r="M152" l="1"/>
  <c r="M153" s="1"/>
  <c r="M154"/>
  <c r="M155" s="1"/>
  <c r="W152"/>
  <c r="W153" s="1"/>
  <c r="F152"/>
  <c r="M208" l="1"/>
  <c r="M250" s="1"/>
  <c r="M178"/>
  <c r="F153"/>
  <c r="F154"/>
  <c r="W154"/>
  <c r="W155" s="1"/>
  <c r="W208" s="1"/>
  <c r="W250" s="1"/>
  <c r="W178" l="1"/>
  <c r="W229"/>
  <c r="M229"/>
  <c r="F155"/>
  <c r="X158" i="45"/>
  <c r="H158"/>
  <c r="AC158"/>
  <c r="U158"/>
  <c r="M158"/>
  <c r="Z158"/>
  <c r="R158"/>
  <c r="J158"/>
  <c r="W158"/>
  <c r="O158"/>
  <c r="G158"/>
  <c r="Q158"/>
  <c r="N158"/>
  <c r="AA158"/>
  <c r="K158"/>
  <c r="AB158"/>
  <c r="L158"/>
  <c r="P158"/>
  <c r="O160"/>
  <c r="O161" s="1"/>
  <c r="Y158"/>
  <c r="I158"/>
  <c r="V158"/>
  <c r="M160"/>
  <c r="M161" s="1"/>
  <c r="S158"/>
  <c r="F158"/>
  <c r="Z160"/>
  <c r="Z161" s="1"/>
  <c r="N160"/>
  <c r="N161" s="1"/>
  <c r="J160"/>
  <c r="J161" s="1"/>
  <c r="T158"/>
  <c r="V159" l="1"/>
  <c r="P159"/>
  <c r="AA159"/>
  <c r="O159"/>
  <c r="O184" s="1"/>
  <c r="Z159"/>
  <c r="Z215" s="1"/>
  <c r="Z257" s="1"/>
  <c r="H159"/>
  <c r="K159"/>
  <c r="G159"/>
  <c r="R159"/>
  <c r="AC159"/>
  <c r="S159"/>
  <c r="Y159"/>
  <c r="AB159"/>
  <c r="Q159"/>
  <c r="J159"/>
  <c r="U159"/>
  <c r="T159"/>
  <c r="I159"/>
  <c r="L159"/>
  <c r="N159"/>
  <c r="N215" s="1"/>
  <c r="N257" s="1"/>
  <c r="W159"/>
  <c r="M159"/>
  <c r="M215" s="1"/>
  <c r="M257" s="1"/>
  <c r="X159"/>
  <c r="F208" i="44"/>
  <c r="F178"/>
  <c r="J215" i="45"/>
  <c r="J257" s="1"/>
  <c r="J184"/>
  <c r="Z184"/>
  <c r="AD158"/>
  <c r="F159"/>
  <c r="R160"/>
  <c r="R161" s="1"/>
  <c r="R184" s="1"/>
  <c r="X160"/>
  <c r="X161" s="1"/>
  <c r="X215" s="1"/>
  <c r="X257" s="1"/>
  <c r="G160"/>
  <c r="G161" s="1"/>
  <c r="V160"/>
  <c r="V161" s="1"/>
  <c r="V184" s="1"/>
  <c r="I160"/>
  <c r="I161" s="1"/>
  <c r="Y160"/>
  <c r="Y161" s="1"/>
  <c r="L160"/>
  <c r="L161" s="1"/>
  <c r="L215" s="1"/>
  <c r="L257" s="1"/>
  <c r="AB160"/>
  <c r="AB161" s="1"/>
  <c r="AB215" s="1"/>
  <c r="AB257" s="1"/>
  <c r="K160"/>
  <c r="K161" s="1"/>
  <c r="K184" s="1"/>
  <c r="AA160"/>
  <c r="AA161" s="1"/>
  <c r="AA184" s="1"/>
  <c r="AC160"/>
  <c r="AC161" s="1"/>
  <c r="P160"/>
  <c r="P161" s="1"/>
  <c r="F160"/>
  <c r="B124" i="24" s="1"/>
  <c r="U160" i="45"/>
  <c r="U161" s="1"/>
  <c r="U184" s="1"/>
  <c r="H160"/>
  <c r="H161" s="1"/>
  <c r="W160"/>
  <c r="W161" s="1"/>
  <c r="W184" s="1"/>
  <c r="Q160"/>
  <c r="Q161" s="1"/>
  <c r="Q184" s="1"/>
  <c r="T160"/>
  <c r="T161" s="1"/>
  <c r="T215" s="1"/>
  <c r="T257" s="1"/>
  <c r="S160"/>
  <c r="S161" s="1"/>
  <c r="S184" s="1"/>
  <c r="N184" l="1"/>
  <c r="Y184"/>
  <c r="O215"/>
  <c r="O257" s="1"/>
  <c r="G184"/>
  <c r="G188" s="1"/>
  <c r="I184"/>
  <c r="I188" s="1"/>
  <c r="I190" s="1"/>
  <c r="P215"/>
  <c r="P257" s="1"/>
  <c r="M184"/>
  <c r="H215"/>
  <c r="H257" s="1"/>
  <c r="AC184"/>
  <c r="F250" i="44"/>
  <c r="F229"/>
  <c r="F209"/>
  <c r="F182"/>
  <c r="X236" i="45"/>
  <c r="T236"/>
  <c r="L236"/>
  <c r="G192"/>
  <c r="G190"/>
  <c r="H216"/>
  <c r="AB236"/>
  <c r="N236"/>
  <c r="O236"/>
  <c r="H184"/>
  <c r="H188" s="1"/>
  <c r="I215"/>
  <c r="I257" s="1"/>
  <c r="X184"/>
  <c r="Q215"/>
  <c r="Q257" s="1"/>
  <c r="Y215"/>
  <c r="Y257" s="1"/>
  <c r="U215"/>
  <c r="U257" s="1"/>
  <c r="G215"/>
  <c r="G257" s="1"/>
  <c r="AC215"/>
  <c r="AC257" s="1"/>
  <c r="P184"/>
  <c r="W215"/>
  <c r="W257" s="1"/>
  <c r="Z236"/>
  <c r="M236"/>
  <c r="J236"/>
  <c r="L184"/>
  <c r="T184"/>
  <c r="AB184"/>
  <c r="S215"/>
  <c r="S257" s="1"/>
  <c r="K215"/>
  <c r="K257" s="1"/>
  <c r="R215"/>
  <c r="R257" s="1"/>
  <c r="AA215"/>
  <c r="AA257" s="1"/>
  <c r="V215"/>
  <c r="V257" s="1"/>
  <c r="AD159"/>
  <c r="AD160"/>
  <c r="F161"/>
  <c r="AD161" s="1"/>
  <c r="I192" l="1"/>
  <c r="P236"/>
  <c r="H236"/>
  <c r="H237" s="1"/>
  <c r="H239" s="1"/>
  <c r="H218"/>
  <c r="D87" i="24"/>
  <c r="F211" i="44"/>
  <c r="B91" i="24"/>
  <c r="F230" i="44"/>
  <c r="F232" s="1"/>
  <c r="F184"/>
  <c r="F186"/>
  <c r="F184" i="45"/>
  <c r="AD184" s="1"/>
  <c r="Y236"/>
  <c r="H192"/>
  <c r="H190"/>
  <c r="AA236"/>
  <c r="V236"/>
  <c r="S236"/>
  <c r="W236"/>
  <c r="U236"/>
  <c r="I236"/>
  <c r="I237" s="1"/>
  <c r="I239" s="1"/>
  <c r="I216"/>
  <c r="K236"/>
  <c r="G236"/>
  <c r="G237" s="1"/>
  <c r="G239" s="1"/>
  <c r="G216"/>
  <c r="R236"/>
  <c r="AC236"/>
  <c r="Q236"/>
  <c r="F215"/>
  <c r="F257" l="1"/>
  <c r="D215"/>
  <c r="H219"/>
  <c r="F188"/>
  <c r="F190" s="1"/>
  <c r="F212" i="44"/>
  <c r="I218" i="45"/>
  <c r="I219" s="1"/>
  <c r="E87" i="24"/>
  <c r="G218" i="45"/>
  <c r="G219" s="1"/>
  <c r="C87" i="24"/>
  <c r="F236" i="45"/>
  <c r="F216"/>
  <c r="F192" l="1"/>
  <c r="F218"/>
  <c r="B87" i="24"/>
  <c r="D236" i="45"/>
  <c r="D19" i="24" s="1"/>
  <c r="F237" i="45"/>
  <c r="F239" l="1"/>
  <c r="F219"/>
  <c r="U245" i="47"/>
  <c r="G245"/>
  <c r="D241"/>
  <c r="B28" i="24" s="1"/>
  <c r="D244" i="47"/>
  <c r="B31" i="24" s="1"/>
  <c r="Q245" i="47"/>
  <c r="X245"/>
  <c r="D243"/>
  <c r="B30" i="24" s="1"/>
  <c r="V245" i="47"/>
  <c r="H245"/>
  <c r="AC245"/>
  <c r="M245"/>
  <c r="O245"/>
  <c r="P245"/>
  <c r="L245"/>
  <c r="T245"/>
  <c r="I245"/>
  <c r="S245"/>
  <c r="W245"/>
  <c r="Z245"/>
  <c r="J245"/>
  <c r="R245"/>
  <c r="Y245"/>
  <c r="N245"/>
  <c r="AB245"/>
  <c r="F245"/>
  <c r="D242"/>
  <c r="B29" i="24" s="1"/>
  <c r="K245" i="47"/>
  <c r="AA245"/>
  <c r="D250"/>
  <c r="B37" i="24" s="1"/>
  <c r="D249" i="47"/>
  <c r="B36" i="24" s="1"/>
  <c r="D248" i="47"/>
  <c r="B35" i="24" s="1"/>
  <c r="D253" i="47"/>
  <c r="B40" i="24" s="1"/>
  <c r="D252" i="47"/>
  <c r="B39" i="24" s="1"/>
  <c r="D247" i="47"/>
  <c r="B34" i="24" s="1"/>
  <c r="F254" i="47"/>
  <c r="G254"/>
  <c r="G256" s="1"/>
  <c r="H254"/>
  <c r="H256" s="1"/>
  <c r="I254"/>
  <c r="F256" l="1"/>
  <c r="I256"/>
  <c r="D240"/>
  <c r="B27" i="24" s="1"/>
  <c r="D242" i="46"/>
  <c r="E29" i="24" s="1"/>
  <c r="R245" i="46"/>
  <c r="S245"/>
  <c r="AA245"/>
  <c r="AC245"/>
  <c r="F245"/>
  <c r="Y245"/>
  <c r="D244"/>
  <c r="E31" i="24" s="1"/>
  <c r="U245" i="46"/>
  <c r="K245"/>
  <c r="D243"/>
  <c r="E30" i="24" s="1"/>
  <c r="L245" i="46"/>
  <c r="T245"/>
  <c r="G245"/>
  <c r="AB245"/>
  <c r="M245"/>
  <c r="P245"/>
  <c r="H245"/>
  <c r="D241"/>
  <c r="V245"/>
  <c r="O245"/>
  <c r="Q245"/>
  <c r="N245"/>
  <c r="Z245"/>
  <c r="J245"/>
  <c r="W245"/>
  <c r="X245"/>
  <c r="I245"/>
  <c r="D253"/>
  <c r="E40" i="24" s="1"/>
  <c r="D249" i="46"/>
  <c r="E36" i="24" s="1"/>
  <c r="D248" i="46"/>
  <c r="E35" i="24" s="1"/>
  <c r="D250" i="46"/>
  <c r="E37" i="24" s="1"/>
  <c r="F254" i="46"/>
  <c r="I254"/>
  <c r="D252"/>
  <c r="E39" i="24" s="1"/>
  <c r="D247" i="46"/>
  <c r="E34" i="24" s="1"/>
  <c r="G254" i="46"/>
  <c r="H254"/>
  <c r="F256" l="1"/>
  <c r="I256"/>
  <c r="G256"/>
  <c r="H256"/>
  <c r="D240"/>
  <c r="E27" i="24" s="1"/>
  <c r="E28"/>
  <c r="D246" i="45"/>
  <c r="D29" i="24" s="1"/>
  <c r="N249" i="45"/>
  <c r="D248"/>
  <c r="D31" i="24" s="1"/>
  <c r="AC249" i="45"/>
  <c r="K249"/>
  <c r="O249"/>
  <c r="R249"/>
  <c r="M249"/>
  <c r="F249"/>
  <c r="L249"/>
  <c r="D245"/>
  <c r="D28" i="24" s="1"/>
  <c r="X249" i="45"/>
  <c r="G249"/>
  <c r="Z249"/>
  <c r="H249"/>
  <c r="D247"/>
  <c r="D30" i="24" s="1"/>
  <c r="Y249" i="45"/>
  <c r="P249"/>
  <c r="J249"/>
  <c r="AB249"/>
  <c r="V249"/>
  <c r="T249"/>
  <c r="W249"/>
  <c r="I249"/>
  <c r="AA249"/>
  <c r="S249"/>
  <c r="U249"/>
  <c r="Q249"/>
  <c r="D253"/>
  <c r="D36" i="24" s="1"/>
  <c r="D256" i="45"/>
  <c r="D39" i="24" s="1"/>
  <c r="D257" i="45"/>
  <c r="D40" i="24" s="1"/>
  <c r="D252" i="45"/>
  <c r="D35" i="24" s="1"/>
  <c r="F258" i="45"/>
  <c r="D254"/>
  <c r="D37" i="24" s="1"/>
  <c r="I258" i="45"/>
  <c r="D251"/>
  <c r="G258"/>
  <c r="H258"/>
  <c r="G260" l="1"/>
  <c r="F260"/>
  <c r="H260"/>
  <c r="I260"/>
  <c r="D34" i="24"/>
  <c r="D244" i="45"/>
  <c r="D27" i="24" s="1"/>
  <c r="D239" i="44"/>
  <c r="F29" i="24" s="1"/>
  <c r="M242" i="44"/>
  <c r="W242"/>
  <c r="D238"/>
  <c r="F242"/>
  <c r="D240"/>
  <c r="F30" i="24" s="1"/>
  <c r="F251" i="44"/>
  <c r="F28" i="24" l="1"/>
  <c r="F253" i="44"/>
  <c r="H15" i="29"/>
  <c r="F15"/>
  <c r="G15"/>
  <c r="F85" l="1"/>
  <c r="F327" s="1"/>
  <c r="F348" s="1"/>
  <c r="B113" i="24"/>
  <c r="G85" i="29"/>
  <c r="H85"/>
  <c r="H327" s="1"/>
  <c r="F334" l="1"/>
  <c r="B85" i="24" s="1"/>
  <c r="B98" s="1"/>
  <c r="F369" i="29"/>
  <c r="F355"/>
  <c r="G327"/>
  <c r="F376"/>
  <c r="H348"/>
  <c r="H355" s="1"/>
  <c r="H357" s="1"/>
  <c r="H369"/>
  <c r="H376" s="1"/>
  <c r="H378" s="1"/>
  <c r="H334"/>
  <c r="F336" l="1"/>
  <c r="F337" s="1"/>
  <c r="F378"/>
  <c r="F357"/>
  <c r="G369"/>
  <c r="G348"/>
  <c r="G334"/>
  <c r="D85" i="24"/>
  <c r="H336" i="29"/>
  <c r="H337" s="1"/>
  <c r="B99" i="24"/>
  <c r="G376" i="29" l="1"/>
  <c r="G355"/>
  <c r="B102" i="24"/>
  <c r="B105"/>
  <c r="C85"/>
  <c r="G336" i="29"/>
  <c r="G337" l="1"/>
  <c r="G357"/>
  <c r="G378"/>
  <c r="J77" i="31" l="1"/>
  <c r="J74"/>
  <c r="J78"/>
  <c r="J76"/>
  <c r="J80"/>
  <c r="J75"/>
  <c r="J79"/>
  <c r="J113" s="1"/>
  <c r="J114" l="1"/>
  <c r="J27" s="1"/>
  <c r="M30" i="29" s="1"/>
  <c r="J26" i="31"/>
  <c r="M29" i="29" s="1"/>
  <c r="J115" i="31"/>
  <c r="J28" s="1"/>
  <c r="M31" i="29" s="1"/>
  <c r="M201" s="1"/>
  <c r="M149" l="1"/>
  <c r="M153" s="1"/>
  <c r="I115" i="24"/>
  <c r="M203" i="29"/>
  <c r="M204"/>
  <c r="M155"/>
  <c r="M171" l="1"/>
  <c r="M164"/>
  <c r="M172" l="1"/>
  <c r="M165"/>
  <c r="T74" i="31" l="1"/>
  <c r="T78"/>
  <c r="T76"/>
  <c r="T77"/>
  <c r="T80"/>
  <c r="T79"/>
  <c r="T113" s="1"/>
  <c r="T75"/>
  <c r="T26" l="1"/>
  <c r="W29" i="29" s="1"/>
  <c r="T114" i="31"/>
  <c r="T27" s="1"/>
  <c r="W30" i="29" s="1"/>
  <c r="W155" s="1"/>
  <c r="T115" i="31"/>
  <c r="T28" s="1"/>
  <c r="W31" i="29" s="1"/>
  <c r="W201" s="1"/>
  <c r="S115" i="24" l="1"/>
  <c r="W149" i="29"/>
  <c r="W153" s="1"/>
  <c r="W171"/>
  <c r="W172" s="1"/>
  <c r="W164"/>
  <c r="W165" s="1"/>
  <c r="W203"/>
  <c r="W204"/>
  <c r="C78" i="31" l="1"/>
  <c r="C77"/>
  <c r="C76"/>
  <c r="C74"/>
  <c r="C80"/>
  <c r="D74"/>
  <c r="D80"/>
  <c r="D76"/>
  <c r="D77"/>
  <c r="D78"/>
  <c r="F80"/>
  <c r="F78"/>
  <c r="F76"/>
  <c r="F74"/>
  <c r="F77"/>
  <c r="E78"/>
  <c r="E80"/>
  <c r="E77"/>
  <c r="E76"/>
  <c r="E74"/>
  <c r="G77"/>
  <c r="G76"/>
  <c r="G78"/>
  <c r="G80"/>
  <c r="G74"/>
  <c r="H77"/>
  <c r="H76"/>
  <c r="H74"/>
  <c r="H80"/>
  <c r="H78"/>
  <c r="I74"/>
  <c r="I77"/>
  <c r="I76"/>
  <c r="I78"/>
  <c r="I80"/>
  <c r="K74"/>
  <c r="K77"/>
  <c r="K76"/>
  <c r="K78"/>
  <c r="K80"/>
  <c r="L74"/>
  <c r="L78"/>
  <c r="L76"/>
  <c r="L80"/>
  <c r="L77"/>
  <c r="M77"/>
  <c r="M76"/>
  <c r="M80"/>
  <c r="M78"/>
  <c r="M74"/>
  <c r="N78"/>
  <c r="N80"/>
  <c r="N74"/>
  <c r="N77"/>
  <c r="N76"/>
  <c r="O80"/>
  <c r="O74"/>
  <c r="O78"/>
  <c r="O77"/>
  <c r="O76"/>
  <c r="P80"/>
  <c r="P74"/>
  <c r="P77"/>
  <c r="P78"/>
  <c r="P76"/>
  <c r="Q77"/>
  <c r="Q80"/>
  <c r="Q74"/>
  <c r="Q78"/>
  <c r="Q76"/>
  <c r="R74"/>
  <c r="R76"/>
  <c r="R78"/>
  <c r="R80"/>
  <c r="R77"/>
  <c r="S76"/>
  <c r="S80"/>
  <c r="S74"/>
  <c r="S77"/>
  <c r="S78"/>
  <c r="U76"/>
  <c r="U77"/>
  <c r="U78"/>
  <c r="U74"/>
  <c r="U80"/>
  <c r="V80"/>
  <c r="V76"/>
  <c r="V74"/>
  <c r="V77"/>
  <c r="V78"/>
  <c r="W78"/>
  <c r="W77"/>
  <c r="W80"/>
  <c r="W74"/>
  <c r="W76"/>
  <c r="X74"/>
  <c r="X77"/>
  <c r="X78"/>
  <c r="X76"/>
  <c r="X80"/>
  <c r="Y78"/>
  <c r="Y76"/>
  <c r="Y80"/>
  <c r="Y77"/>
  <c r="Y74"/>
  <c r="Z78"/>
  <c r="Z77"/>
  <c r="Z80"/>
  <c r="Z76"/>
  <c r="Z74"/>
  <c r="F75"/>
  <c r="E75"/>
  <c r="D75"/>
  <c r="C79"/>
  <c r="C113" s="1"/>
  <c r="F79"/>
  <c r="F113" s="1"/>
  <c r="C75"/>
  <c r="E79"/>
  <c r="E113" s="1"/>
  <c r="D79"/>
  <c r="D113" s="1"/>
  <c r="I79"/>
  <c r="I113" s="1"/>
  <c r="X79"/>
  <c r="X113" s="1"/>
  <c r="Z75"/>
  <c r="W79"/>
  <c r="W113" s="1"/>
  <c r="H79"/>
  <c r="H113" s="1"/>
  <c r="G79"/>
  <c r="G113" s="1"/>
  <c r="U79"/>
  <c r="U113" s="1"/>
  <c r="Q79"/>
  <c r="Q113" s="1"/>
  <c r="P79"/>
  <c r="P113" s="1"/>
  <c r="X75"/>
  <c r="L79"/>
  <c r="L113" s="1"/>
  <c r="Y79"/>
  <c r="Y113" s="1"/>
  <c r="Z79"/>
  <c r="Z113" s="1"/>
  <c r="O79"/>
  <c r="O113" s="1"/>
  <c r="R75"/>
  <c r="K75"/>
  <c r="Y75"/>
  <c r="N75"/>
  <c r="M75"/>
  <c r="N79"/>
  <c r="N113" s="1"/>
  <c r="H75"/>
  <c r="V75"/>
  <c r="R79"/>
  <c r="R113" s="1"/>
  <c r="S79"/>
  <c r="S113" s="1"/>
  <c r="S26" s="1"/>
  <c r="V29" i="29" s="1"/>
  <c r="O75" i="31"/>
  <c r="L75"/>
  <c r="G75"/>
  <c r="M79"/>
  <c r="M113" s="1"/>
  <c r="U75"/>
  <c r="V79"/>
  <c r="V113" s="1"/>
  <c r="P75"/>
  <c r="Q75"/>
  <c r="K79"/>
  <c r="K113" s="1"/>
  <c r="S75"/>
  <c r="W75"/>
  <c r="I75"/>
  <c r="C84"/>
  <c r="L115" l="1"/>
  <c r="L28" s="1"/>
  <c r="O31" i="29" s="1"/>
  <c r="O201" s="1"/>
  <c r="O204" s="1"/>
  <c r="L114" i="31"/>
  <c r="L27" s="1"/>
  <c r="O30" i="29" s="1"/>
  <c r="O155" s="1"/>
  <c r="O171" s="1"/>
  <c r="O172" s="1"/>
  <c r="G95" i="31"/>
  <c r="G96" s="1"/>
  <c r="G12" s="1"/>
  <c r="J15" i="29" s="1"/>
  <c r="S95" i="31"/>
  <c r="S96" s="1"/>
  <c r="I95"/>
  <c r="I96" s="1"/>
  <c r="I12" s="1"/>
  <c r="L15" i="29" s="1"/>
  <c r="W95" i="31"/>
  <c r="W96" s="1"/>
  <c r="W98" s="1"/>
  <c r="W14" s="1"/>
  <c r="Z17" i="29" s="1"/>
  <c r="Z185" s="1"/>
  <c r="S12" i="31"/>
  <c r="V15" i="29" s="1"/>
  <c r="S98" i="31"/>
  <c r="S14" s="1"/>
  <c r="V17" i="29" s="1"/>
  <c r="V185" s="1"/>
  <c r="S97" i="31"/>
  <c r="S13" s="1"/>
  <c r="V16" i="29" s="1"/>
  <c r="V26" i="31"/>
  <c r="Y29" i="29" s="1"/>
  <c r="V114" i="31"/>
  <c r="V27" s="1"/>
  <c r="Y30" i="29" s="1"/>
  <c r="Y155" s="1"/>
  <c r="V115" i="31"/>
  <c r="V28" s="1"/>
  <c r="Y31" i="29" s="1"/>
  <c r="Y201" s="1"/>
  <c r="G98" i="31"/>
  <c r="G14" s="1"/>
  <c r="J17" i="29" s="1"/>
  <c r="C95" i="31"/>
  <c r="C96" s="1"/>
  <c r="X95"/>
  <c r="X96" s="1"/>
  <c r="L95"/>
  <c r="L96" s="1"/>
  <c r="R95"/>
  <c r="R96" s="1"/>
  <c r="Y95"/>
  <c r="Y96" s="1"/>
  <c r="J95"/>
  <c r="J96" s="1"/>
  <c r="Z95"/>
  <c r="Z96" s="1"/>
  <c r="O95"/>
  <c r="O96" s="1"/>
  <c r="T95"/>
  <c r="T96" s="1"/>
  <c r="M115"/>
  <c r="M28" s="1"/>
  <c r="P31" i="29" s="1"/>
  <c r="P201" s="1"/>
  <c r="M26" i="31"/>
  <c r="P29" i="29" s="1"/>
  <c r="Z26" i="31"/>
  <c r="AC29" i="29" s="1"/>
  <c r="Z114" i="31"/>
  <c r="Z27" s="1"/>
  <c r="AC30" i="29" s="1"/>
  <c r="AC155" s="1"/>
  <c r="Z115" i="31"/>
  <c r="Z28" s="1"/>
  <c r="AC31" i="29" s="1"/>
  <c r="AC201" s="1"/>
  <c r="W115" i="31"/>
  <c r="W28" s="1"/>
  <c r="Z31" i="29" s="1"/>
  <c r="Z201" s="1"/>
  <c r="W26" i="31"/>
  <c r="Z29" i="29" s="1"/>
  <c r="W114" i="31"/>
  <c r="W27" s="1"/>
  <c r="Z30" i="29" s="1"/>
  <c r="Z155" s="1"/>
  <c r="P95" i="31"/>
  <c r="P96" s="1"/>
  <c r="U95"/>
  <c r="U96" s="1"/>
  <c r="H95"/>
  <c r="H96" s="1"/>
  <c r="K115"/>
  <c r="K28" s="1"/>
  <c r="N31" i="29" s="1"/>
  <c r="N201" s="1"/>
  <c r="K26" i="31"/>
  <c r="N29" i="29" s="1"/>
  <c r="O114" i="31"/>
  <c r="O27" s="1"/>
  <c r="R30" i="29" s="1"/>
  <c r="R155" s="1"/>
  <c r="O115" i="31"/>
  <c r="O28" s="1"/>
  <c r="R31" i="29" s="1"/>
  <c r="R201" s="1"/>
  <c r="O26" i="31"/>
  <c r="R29" i="29" s="1"/>
  <c r="O203"/>
  <c r="H26" i="31"/>
  <c r="K29" i="29" s="1"/>
  <c r="H115" i="31"/>
  <c r="H28" s="1"/>
  <c r="K31" i="29" s="1"/>
  <c r="K201" s="1"/>
  <c r="H114" i="31"/>
  <c r="H27" s="1"/>
  <c r="K30" i="29" s="1"/>
  <c r="K155" s="1"/>
  <c r="I26" i="31"/>
  <c r="L29" i="29" s="1"/>
  <c r="I114" i="31"/>
  <c r="I27" s="1"/>
  <c r="L30" i="29" s="1"/>
  <c r="L155" s="1"/>
  <c r="I115" i="31"/>
  <c r="I28" s="1"/>
  <c r="L31" i="29" s="1"/>
  <c r="L201" s="1"/>
  <c r="Q95" i="31"/>
  <c r="Q96" s="1"/>
  <c r="M114"/>
  <c r="M27" s="1"/>
  <c r="P30" i="29" s="1"/>
  <c r="P155" s="1"/>
  <c r="V95" i="31"/>
  <c r="V96" s="1"/>
  <c r="N95"/>
  <c r="N96" s="1"/>
  <c r="R26"/>
  <c r="U29" i="29" s="1"/>
  <c r="R115" i="31"/>
  <c r="R28" s="1"/>
  <c r="U31" i="29" s="1"/>
  <c r="U201" s="1"/>
  <c r="R114" i="31"/>
  <c r="R27" s="1"/>
  <c r="U30" i="29" s="1"/>
  <c r="U155" s="1"/>
  <c r="P26" i="31"/>
  <c r="S29" i="29" s="1"/>
  <c r="P115" i="31"/>
  <c r="P28" s="1"/>
  <c r="S31" i="29" s="1"/>
  <c r="S201" s="1"/>
  <c r="P114" i="31"/>
  <c r="P27" s="1"/>
  <c r="S30" i="29" s="1"/>
  <c r="S155" s="1"/>
  <c r="G26" i="31"/>
  <c r="J29" i="29" s="1"/>
  <c r="G115" i="31"/>
  <c r="G28" s="1"/>
  <c r="J31" i="29" s="1"/>
  <c r="G114" i="31"/>
  <c r="G27" s="1"/>
  <c r="J30" i="29" s="1"/>
  <c r="X115" i="31"/>
  <c r="X28" s="1"/>
  <c r="AA31" i="29" s="1"/>
  <c r="AA201" s="1"/>
  <c r="X26" i="31"/>
  <c r="AA29" i="29" s="1"/>
  <c r="X114" i="31"/>
  <c r="X27" s="1"/>
  <c r="AA30" i="29" s="1"/>
  <c r="AA155" s="1"/>
  <c r="K114" i="31"/>
  <c r="K27" s="1"/>
  <c r="N30" i="29" s="1"/>
  <c r="N155" s="1"/>
  <c r="M95" i="31"/>
  <c r="M96" s="1"/>
  <c r="N26"/>
  <c r="Q29" i="29" s="1"/>
  <c r="N114" i="31"/>
  <c r="N27" s="1"/>
  <c r="Q30" i="29" s="1"/>
  <c r="Q155" s="1"/>
  <c r="N115" i="31"/>
  <c r="N28" s="1"/>
  <c r="Q31" i="29" s="1"/>
  <c r="Q201" s="1"/>
  <c r="Y115" i="31"/>
  <c r="Y28" s="1"/>
  <c r="AB31" i="29" s="1"/>
  <c r="AB201" s="1"/>
  <c r="Y26" i="31"/>
  <c r="AB29" i="29" s="1"/>
  <c r="Y114" i="31"/>
  <c r="Y27" s="1"/>
  <c r="AB30" i="29" s="1"/>
  <c r="AB155" s="1"/>
  <c r="U26" i="31"/>
  <c r="X29" i="29" s="1"/>
  <c r="U115" i="31"/>
  <c r="U28" s="1"/>
  <c r="X31" i="29" s="1"/>
  <c r="X201" s="1"/>
  <c r="U114" i="31"/>
  <c r="U27" s="1"/>
  <c r="X30" i="29" s="1"/>
  <c r="X155" s="1"/>
  <c r="C86" i="31"/>
  <c r="K95"/>
  <c r="K96" s="1"/>
  <c r="V149" i="29"/>
  <c r="V153" s="1"/>
  <c r="Q115" i="31"/>
  <c r="Q28" s="1"/>
  <c r="T31" i="29" s="1"/>
  <c r="T201" s="1"/>
  <c r="Q114" i="31"/>
  <c r="Q27" s="1"/>
  <c r="T30" i="29" s="1"/>
  <c r="T155" s="1"/>
  <c r="Q26" i="31"/>
  <c r="T29" i="29" s="1"/>
  <c r="L26" i="31"/>
  <c r="O29" i="29" s="1"/>
  <c r="S115" i="31"/>
  <c r="S28" s="1"/>
  <c r="V31" i="29" s="1"/>
  <c r="V201" s="1"/>
  <c r="F95" i="31"/>
  <c r="F96" s="1"/>
  <c r="S114"/>
  <c r="S27" s="1"/>
  <c r="V30" i="29" s="1"/>
  <c r="V155" s="1"/>
  <c r="E95" i="31"/>
  <c r="E96" s="1"/>
  <c r="D95"/>
  <c r="D96" s="1"/>
  <c r="O164" i="29" l="1"/>
  <c r="O165" s="1"/>
  <c r="I97" i="31"/>
  <c r="I13" s="1"/>
  <c r="L16" i="29" s="1"/>
  <c r="I98" i="31"/>
  <c r="I14" s="1"/>
  <c r="L17" i="29" s="1"/>
  <c r="L185" s="1"/>
  <c r="W12" i="31"/>
  <c r="Z15" i="29" s="1"/>
  <c r="Z85" s="1"/>
  <c r="G97" i="31"/>
  <c r="G13" s="1"/>
  <c r="J16" i="29" s="1"/>
  <c r="J244" s="1"/>
  <c r="W97" i="31"/>
  <c r="W13" s="1"/>
  <c r="Z16" i="29" s="1"/>
  <c r="Z266" s="1"/>
  <c r="Z267" s="1"/>
  <c r="T204"/>
  <c r="T203"/>
  <c r="Q171"/>
  <c r="Q172" s="1"/>
  <c r="Q164"/>
  <c r="Q165" s="1"/>
  <c r="O115" i="24"/>
  <c r="S149" i="29"/>
  <c r="S153" s="1"/>
  <c r="K115" i="24"/>
  <c r="O149" i="29"/>
  <c r="O153" s="1"/>
  <c r="X171"/>
  <c r="X172" s="1"/>
  <c r="X164"/>
  <c r="X165" s="1"/>
  <c r="X115" i="24"/>
  <c r="AB149" i="29"/>
  <c r="AB153" s="1"/>
  <c r="M115" i="24"/>
  <c r="Q149" i="29"/>
  <c r="Q153" s="1"/>
  <c r="W115" i="24"/>
  <c r="AA149" i="29"/>
  <c r="AA153" s="1"/>
  <c r="AD29"/>
  <c r="J149"/>
  <c r="F115" i="24"/>
  <c r="U149" i="29"/>
  <c r="U153" s="1"/>
  <c r="Q115" i="24"/>
  <c r="Q98" i="31"/>
  <c r="Q14" s="1"/>
  <c r="T17" i="29" s="1"/>
  <c r="T185" s="1"/>
  <c r="Q12" i="31"/>
  <c r="T15" i="29" s="1"/>
  <c r="Q97" i="31"/>
  <c r="Q13" s="1"/>
  <c r="T16" i="29" s="1"/>
  <c r="K164"/>
  <c r="K165" s="1"/>
  <c r="K171"/>
  <c r="K172" s="1"/>
  <c r="N149"/>
  <c r="N153" s="1"/>
  <c r="J115" i="24"/>
  <c r="B64" s="1"/>
  <c r="P98" i="31"/>
  <c r="P14" s="1"/>
  <c r="S17" i="29" s="1"/>
  <c r="S185" s="1"/>
  <c r="P12" i="31"/>
  <c r="S15" i="29" s="1"/>
  <c r="P97" i="31"/>
  <c r="P13" s="1"/>
  <c r="S16" i="29" s="1"/>
  <c r="AC204"/>
  <c r="AC203"/>
  <c r="P203"/>
  <c r="P204"/>
  <c r="J12" i="31"/>
  <c r="M15" i="29" s="1"/>
  <c r="J97" i="31"/>
  <c r="J13" s="1"/>
  <c r="M16" i="29" s="1"/>
  <c r="J98" i="31"/>
  <c r="J14" s="1"/>
  <c r="M17" i="29" s="1"/>
  <c r="M185" s="1"/>
  <c r="X12" i="31"/>
  <c r="AA15" i="29" s="1"/>
  <c r="X98" i="31"/>
  <c r="X14" s="1"/>
  <c r="AA17" i="29" s="1"/>
  <c r="AA185" s="1"/>
  <c r="X97" i="31"/>
  <c r="X13" s="1"/>
  <c r="AA16" i="29" s="1"/>
  <c r="J185"/>
  <c r="L264"/>
  <c r="L266"/>
  <c r="L267" s="1"/>
  <c r="L88"/>
  <c r="V187"/>
  <c r="V188"/>
  <c r="F89" i="31"/>
  <c r="E89"/>
  <c r="D89"/>
  <c r="C89"/>
  <c r="Q89"/>
  <c r="T89"/>
  <c r="P89"/>
  <c r="K89"/>
  <c r="U89"/>
  <c r="G89"/>
  <c r="Z89"/>
  <c r="O89"/>
  <c r="L89"/>
  <c r="S89"/>
  <c r="J89"/>
  <c r="Y89"/>
  <c r="I89"/>
  <c r="V89"/>
  <c r="N89"/>
  <c r="W89"/>
  <c r="X89"/>
  <c r="R89"/>
  <c r="M89"/>
  <c r="H89"/>
  <c r="AA164" i="29"/>
  <c r="AA165" s="1"/>
  <c r="AA171"/>
  <c r="AA172" s="1"/>
  <c r="P171"/>
  <c r="P172" s="1"/>
  <c r="P164"/>
  <c r="P165" s="1"/>
  <c r="R164"/>
  <c r="R165" s="1"/>
  <c r="R171"/>
  <c r="R172" s="1"/>
  <c r="Z204"/>
  <c r="Z203"/>
  <c r="Z12" i="31"/>
  <c r="AC15" i="29" s="1"/>
  <c r="Z97" i="31"/>
  <c r="Z13" s="1"/>
  <c r="AC16" i="29" s="1"/>
  <c r="Z98" i="31"/>
  <c r="Z14" s="1"/>
  <c r="AC17" i="29" s="1"/>
  <c r="AC185" s="1"/>
  <c r="J85"/>
  <c r="U115" i="24"/>
  <c r="Y149" i="29"/>
  <c r="Y153" s="1"/>
  <c r="V266"/>
  <c r="V267" s="1"/>
  <c r="V264"/>
  <c r="V88"/>
  <c r="V244"/>
  <c r="V332" s="1"/>
  <c r="K97" i="31"/>
  <c r="K13" s="1"/>
  <c r="N16" i="29" s="1"/>
  <c r="K98" i="31"/>
  <c r="K14" s="1"/>
  <c r="N17" i="29" s="1"/>
  <c r="N185" s="1"/>
  <c r="K12" i="31"/>
  <c r="N15" i="29" s="1"/>
  <c r="T115" i="24"/>
  <c r="X149" i="29"/>
  <c r="X153" s="1"/>
  <c r="Q204"/>
  <c r="Q203"/>
  <c r="N164"/>
  <c r="N165" s="1"/>
  <c r="N171"/>
  <c r="N172" s="1"/>
  <c r="J155"/>
  <c r="AD155" s="1"/>
  <c r="AD30"/>
  <c r="S204"/>
  <c r="S203"/>
  <c r="U164"/>
  <c r="U165" s="1"/>
  <c r="U171"/>
  <c r="U172" s="1"/>
  <c r="V12" i="31"/>
  <c r="Y15" i="29" s="1"/>
  <c r="V97" i="31"/>
  <c r="V13" s="1"/>
  <c r="Y16" i="29" s="1"/>
  <c r="V98" i="31"/>
  <c r="V14" s="1"/>
  <c r="Y17" i="29" s="1"/>
  <c r="Y185" s="1"/>
  <c r="L164"/>
  <c r="L165" s="1"/>
  <c r="L171"/>
  <c r="L172" s="1"/>
  <c r="G115" i="24"/>
  <c r="K149" i="29"/>
  <c r="K153" s="1"/>
  <c r="R204"/>
  <c r="R203"/>
  <c r="H12" i="31"/>
  <c r="K15" i="29" s="1"/>
  <c r="H98" i="31"/>
  <c r="H14" s="1"/>
  <c r="K17" i="29" s="1"/>
  <c r="K185" s="1"/>
  <c r="H97" i="31"/>
  <c r="H13" s="1"/>
  <c r="K16" i="29" s="1"/>
  <c r="V115" i="24"/>
  <c r="Z149" i="29"/>
  <c r="Z153" s="1"/>
  <c r="Y115" i="24"/>
  <c r="C64" s="1"/>
  <c r="AC149" i="29"/>
  <c r="AC153" s="1"/>
  <c r="O12" i="31"/>
  <c r="R15" i="29" s="1"/>
  <c r="O98" i="31"/>
  <c r="O14" s="1"/>
  <c r="R17" i="29" s="1"/>
  <c r="R185" s="1"/>
  <c r="O97" i="31"/>
  <c r="O13" s="1"/>
  <c r="R16" i="29" s="1"/>
  <c r="R12" i="31"/>
  <c r="U15" i="29" s="1"/>
  <c r="R98" i="31"/>
  <c r="R14" s="1"/>
  <c r="U17" i="29" s="1"/>
  <c r="U185" s="1"/>
  <c r="R97" i="31"/>
  <c r="R13" s="1"/>
  <c r="U16" i="29" s="1"/>
  <c r="J266"/>
  <c r="J88"/>
  <c r="Y164"/>
  <c r="Y165" s="1"/>
  <c r="Y171"/>
  <c r="Y172" s="1"/>
  <c r="L187"/>
  <c r="L188"/>
  <c r="Z264"/>
  <c r="Z244"/>
  <c r="Z332" s="1"/>
  <c r="V204"/>
  <c r="V203"/>
  <c r="AB164"/>
  <c r="AB165" s="1"/>
  <c r="AB171"/>
  <c r="AB172" s="1"/>
  <c r="AD31"/>
  <c r="J201"/>
  <c r="U203"/>
  <c r="U204"/>
  <c r="L149"/>
  <c r="L153" s="1"/>
  <c r="H115" i="24"/>
  <c r="U12" i="31"/>
  <c r="X15" i="29" s="1"/>
  <c r="U98" i="31"/>
  <c r="U14" s="1"/>
  <c r="X17" i="29" s="1"/>
  <c r="X185" s="1"/>
  <c r="U97" i="31"/>
  <c r="U13" s="1"/>
  <c r="X16" i="29" s="1"/>
  <c r="L115" i="24"/>
  <c r="P149" i="29"/>
  <c r="P153" s="1"/>
  <c r="L12" i="31"/>
  <c r="O15" i="29" s="1"/>
  <c r="L98" i="31"/>
  <c r="L14" s="1"/>
  <c r="O17" i="29" s="1"/>
  <c r="O185" s="1"/>
  <c r="L97" i="31"/>
  <c r="L13" s="1"/>
  <c r="O16" i="29" s="1"/>
  <c r="Z188"/>
  <c r="Z187"/>
  <c r="T164"/>
  <c r="T165" s="1"/>
  <c r="T171"/>
  <c r="T172" s="1"/>
  <c r="V164"/>
  <c r="V165" s="1"/>
  <c r="V171"/>
  <c r="V172" s="1"/>
  <c r="T149"/>
  <c r="T153" s="1"/>
  <c r="P115" i="24"/>
  <c r="X203" i="29"/>
  <c r="X204"/>
  <c r="AB204"/>
  <c r="AB203"/>
  <c r="M12" i="31"/>
  <c r="P15" i="29" s="1"/>
  <c r="M97" i="31"/>
  <c r="M13" s="1"/>
  <c r="P16" i="29" s="1"/>
  <c r="M98" i="31"/>
  <c r="M14" s="1"/>
  <c r="P17" i="29" s="1"/>
  <c r="P185" s="1"/>
  <c r="AA204"/>
  <c r="AA203"/>
  <c r="S164"/>
  <c r="S165" s="1"/>
  <c r="S171"/>
  <c r="S172" s="1"/>
  <c r="N98" i="31"/>
  <c r="N14" s="1"/>
  <c r="Q17" i="29" s="1"/>
  <c r="Q185" s="1"/>
  <c r="N97" i="31"/>
  <c r="N13" s="1"/>
  <c r="Q16" i="29" s="1"/>
  <c r="N12" i="31"/>
  <c r="Q15" i="29" s="1"/>
  <c r="L204"/>
  <c r="L203"/>
  <c r="K204"/>
  <c r="K203"/>
  <c r="R149"/>
  <c r="R153" s="1"/>
  <c r="N115" i="24"/>
  <c r="N204" i="29"/>
  <c r="N203"/>
  <c r="Z164"/>
  <c r="Z165" s="1"/>
  <c r="Z171"/>
  <c r="Z172" s="1"/>
  <c r="AC171"/>
  <c r="AC172" s="1"/>
  <c r="AC164"/>
  <c r="AC165" s="1"/>
  <c r="T12" i="31"/>
  <c r="W15" i="29" s="1"/>
  <c r="T98" i="31"/>
  <c r="T14" s="1"/>
  <c r="W17" i="29" s="1"/>
  <c r="W185" s="1"/>
  <c r="T97" i="31"/>
  <c r="T13" s="1"/>
  <c r="W16" i="29" s="1"/>
  <c r="Y12" i="31"/>
  <c r="AB15" i="29" s="1"/>
  <c r="Y97" i="31"/>
  <c r="Y13" s="1"/>
  <c r="AB16" i="29" s="1"/>
  <c r="Y98" i="31"/>
  <c r="Y14" s="1"/>
  <c r="AB17" i="29" s="1"/>
  <c r="AB185" s="1"/>
  <c r="Y204"/>
  <c r="Y203"/>
  <c r="L85"/>
  <c r="V85"/>
  <c r="R115" i="24"/>
  <c r="J264" i="29" l="1"/>
  <c r="L244"/>
  <c r="L332" s="1"/>
  <c r="L374" s="1"/>
  <c r="Z88"/>
  <c r="Z104" s="1"/>
  <c r="Z105" s="1"/>
  <c r="AD15"/>
  <c r="AD16"/>
  <c r="AD17"/>
  <c r="O188"/>
  <c r="O187"/>
  <c r="U85"/>
  <c r="N92" i="31"/>
  <c r="N8" s="1"/>
  <c r="Q12" i="29" s="1"/>
  <c r="N91" i="31"/>
  <c r="N7" s="1"/>
  <c r="N6"/>
  <c r="Q10" i="29" s="1"/>
  <c r="AB85"/>
  <c r="Q85"/>
  <c r="P264"/>
  <c r="P244"/>
  <c r="P332" s="1"/>
  <c r="P88"/>
  <c r="P266"/>
  <c r="P267" s="1"/>
  <c r="O85"/>
  <c r="X187"/>
  <c r="X188"/>
  <c r="J104"/>
  <c r="J97"/>
  <c r="R266"/>
  <c r="R267" s="1"/>
  <c r="R264"/>
  <c r="R244"/>
  <c r="R332" s="1"/>
  <c r="R88"/>
  <c r="K187"/>
  <c r="K188"/>
  <c r="Y187"/>
  <c r="Y188"/>
  <c r="J164"/>
  <c r="J171"/>
  <c r="N188"/>
  <c r="N187"/>
  <c r="V265"/>
  <c r="AC266"/>
  <c r="AC267" s="1"/>
  <c r="AC244"/>
  <c r="AC332" s="1"/>
  <c r="AC264"/>
  <c r="AC88"/>
  <c r="R6" i="31"/>
  <c r="U10" i="29" s="1"/>
  <c r="R92" i="31"/>
  <c r="R8" s="1"/>
  <c r="U12" i="29" s="1"/>
  <c r="R91" i="31"/>
  <c r="R7" s="1"/>
  <c r="V91"/>
  <c r="V7" s="1"/>
  <c r="V92"/>
  <c r="V8" s="1"/>
  <c r="Y12" i="29" s="1"/>
  <c r="V6" i="31"/>
  <c r="Y10" i="29" s="1"/>
  <c r="S92" i="31"/>
  <c r="S8" s="1"/>
  <c r="V12" i="29" s="1"/>
  <c r="S91" i="31"/>
  <c r="S7" s="1"/>
  <c r="S6"/>
  <c r="V10" i="29" s="1"/>
  <c r="G92" i="31"/>
  <c r="G8" s="1"/>
  <c r="J12" i="29" s="1"/>
  <c r="G6" i="31"/>
  <c r="J10" i="29" s="1"/>
  <c r="G91" i="31"/>
  <c r="G7" s="1"/>
  <c r="T6"/>
  <c r="W10" i="29" s="1"/>
  <c r="T92" i="31"/>
  <c r="T8" s="1"/>
  <c r="W12" i="29" s="1"/>
  <c r="T91" i="31"/>
  <c r="T7" s="1"/>
  <c r="AA244" i="29"/>
  <c r="AA332" s="1"/>
  <c r="AA266"/>
  <c r="AA267" s="1"/>
  <c r="AA264"/>
  <c r="AA88"/>
  <c r="M266"/>
  <c r="M267" s="1"/>
  <c r="M244"/>
  <c r="M332" s="1"/>
  <c r="M264"/>
  <c r="M88"/>
  <c r="S187"/>
  <c r="S188"/>
  <c r="AB264"/>
  <c r="AB244"/>
  <c r="AB332" s="1"/>
  <c r="AB88"/>
  <c r="AB266"/>
  <c r="AB267" s="1"/>
  <c r="J92" i="31"/>
  <c r="J8" s="1"/>
  <c r="M12" i="29" s="1"/>
  <c r="J6" i="31"/>
  <c r="M10" i="29" s="1"/>
  <c r="J91" i="31"/>
  <c r="J7" s="1"/>
  <c r="P92"/>
  <c r="P8" s="1"/>
  <c r="S12" i="29" s="1"/>
  <c r="P91" i="31"/>
  <c r="P7" s="1"/>
  <c r="P6"/>
  <c r="S10" i="29" s="1"/>
  <c r="M187"/>
  <c r="M188"/>
  <c r="S85"/>
  <c r="T187"/>
  <c r="T188"/>
  <c r="AD149"/>
  <c r="J153"/>
  <c r="AD153" s="1"/>
  <c r="S113" i="24"/>
  <c r="W85" i="29"/>
  <c r="X264"/>
  <c r="X88"/>
  <c r="X244"/>
  <c r="X332" s="1"/>
  <c r="X266"/>
  <c r="X267" s="1"/>
  <c r="J332"/>
  <c r="N85"/>
  <c r="V97"/>
  <c r="V98" s="1"/>
  <c r="V104"/>
  <c r="V105" s="1"/>
  <c r="AB187"/>
  <c r="AB188"/>
  <c r="Q187"/>
  <c r="Q188"/>
  <c r="O266"/>
  <c r="O267" s="1"/>
  <c r="O264"/>
  <c r="O244"/>
  <c r="O332" s="1"/>
  <c r="O88"/>
  <c r="J203"/>
  <c r="AD203" s="1"/>
  <c r="J204"/>
  <c r="AD204" s="1"/>
  <c r="AD201"/>
  <c r="Z265"/>
  <c r="J265"/>
  <c r="U187"/>
  <c r="U188"/>
  <c r="R85"/>
  <c r="Y85"/>
  <c r="V353"/>
  <c r="V374"/>
  <c r="H92" i="31"/>
  <c r="H8" s="1"/>
  <c r="K12" i="29" s="1"/>
  <c r="H91" i="31"/>
  <c r="H7" s="1"/>
  <c r="H6"/>
  <c r="K10" i="29" s="1"/>
  <c r="W92" i="31"/>
  <c r="W8" s="1"/>
  <c r="Z12" i="29" s="1"/>
  <c r="W6" i="31"/>
  <c r="Z10" i="29" s="1"/>
  <c r="W91" i="31"/>
  <c r="W7" s="1"/>
  <c r="Y92"/>
  <c r="Y8" s="1"/>
  <c r="AB12" i="29" s="1"/>
  <c r="Y6" i="31"/>
  <c r="AB10" i="29" s="1"/>
  <c r="Y91" i="31"/>
  <c r="Y7" s="1"/>
  <c r="O6"/>
  <c r="R10" i="29" s="1"/>
  <c r="O91" i="31"/>
  <c r="O7" s="1"/>
  <c r="O92"/>
  <c r="O8" s="1"/>
  <c r="R12" i="29" s="1"/>
  <c r="K92" i="31"/>
  <c r="K8" s="1"/>
  <c r="N12" i="29" s="1"/>
  <c r="K91" i="31"/>
  <c r="K7" s="1"/>
  <c r="K6"/>
  <c r="N10" i="29" s="1"/>
  <c r="D258"/>
  <c r="D256"/>
  <c r="L97"/>
  <c r="L98" s="1"/>
  <c r="L104"/>
  <c r="L105" s="1"/>
  <c r="AA85"/>
  <c r="S264"/>
  <c r="S244"/>
  <c r="S332" s="1"/>
  <c r="S88"/>
  <c r="S266"/>
  <c r="S267" s="1"/>
  <c r="T85"/>
  <c r="D64" i="24"/>
  <c r="P188" i="29"/>
  <c r="P187"/>
  <c r="K264"/>
  <c r="K244"/>
  <c r="K332" s="1"/>
  <c r="K266"/>
  <c r="K267" s="1"/>
  <c r="K88"/>
  <c r="AC188"/>
  <c r="AC187"/>
  <c r="M6" i="31"/>
  <c r="P10" i="29" s="1"/>
  <c r="M92" i="31"/>
  <c r="M8" s="1"/>
  <c r="P12" i="29" s="1"/>
  <c r="M91" i="31"/>
  <c r="M7" s="1"/>
  <c r="Z92"/>
  <c r="Z8" s="1"/>
  <c r="AC12" i="29" s="1"/>
  <c r="Z6" i="31"/>
  <c r="AC10" i="29" s="1"/>
  <c r="Z91" i="31"/>
  <c r="Z7" s="1"/>
  <c r="J187" i="29"/>
  <c r="AD185"/>
  <c r="J188"/>
  <c r="W188"/>
  <c r="W187"/>
  <c r="W88"/>
  <c r="W264"/>
  <c r="W244"/>
  <c r="W332" s="1"/>
  <c r="W266"/>
  <c r="W267" s="1"/>
  <c r="Q264"/>
  <c r="Q244"/>
  <c r="Q332" s="1"/>
  <c r="Q88"/>
  <c r="Q266"/>
  <c r="Q267" s="1"/>
  <c r="P85"/>
  <c r="X85"/>
  <c r="Z353"/>
  <c r="Z374"/>
  <c r="J267"/>
  <c r="U88"/>
  <c r="U264"/>
  <c r="U244"/>
  <c r="U332" s="1"/>
  <c r="U266"/>
  <c r="U267" s="1"/>
  <c r="R187"/>
  <c r="R188"/>
  <c r="K85"/>
  <c r="Y264"/>
  <c r="Y88"/>
  <c r="Y244"/>
  <c r="Y332" s="1"/>
  <c r="Y266"/>
  <c r="Y267" s="1"/>
  <c r="N244"/>
  <c r="N332" s="1"/>
  <c r="N266"/>
  <c r="N267" s="1"/>
  <c r="N264"/>
  <c r="N88"/>
  <c r="AC85"/>
  <c r="X92" i="31"/>
  <c r="X8" s="1"/>
  <c r="AA12" i="29" s="1"/>
  <c r="X91" i="31"/>
  <c r="X7" s="1"/>
  <c r="X6"/>
  <c r="AA10" i="29" s="1"/>
  <c r="I92" i="31"/>
  <c r="I8" s="1"/>
  <c r="L12" i="29" s="1"/>
  <c r="I6" i="31"/>
  <c r="L10" i="29" s="1"/>
  <c r="I91" i="31"/>
  <c r="I7" s="1"/>
  <c r="L92"/>
  <c r="L8" s="1"/>
  <c r="O12" i="29" s="1"/>
  <c r="L91" i="31"/>
  <c r="L7" s="1"/>
  <c r="L6"/>
  <c r="O10" i="29" s="1"/>
  <c r="U92" i="31"/>
  <c r="U8" s="1"/>
  <c r="X12" i="29" s="1"/>
  <c r="U6" i="31"/>
  <c r="X10" i="29" s="1"/>
  <c r="U91" i="31"/>
  <c r="U7" s="1"/>
  <c r="Q92"/>
  <c r="Q8" s="1"/>
  <c r="T12" i="29" s="1"/>
  <c r="Q6" i="31"/>
  <c r="T10" i="29" s="1"/>
  <c r="Q91" i="31"/>
  <c r="Q7" s="1"/>
  <c r="L265" i="29"/>
  <c r="AA188"/>
  <c r="AA187"/>
  <c r="I113" i="24"/>
  <c r="M85" i="29"/>
  <c r="T244"/>
  <c r="T332" s="1"/>
  <c r="T266"/>
  <c r="T267" s="1"/>
  <c r="T264"/>
  <c r="T88"/>
  <c r="Z97" l="1"/>
  <c r="Z98" s="1"/>
  <c r="L353"/>
  <c r="AD88"/>
  <c r="AD85"/>
  <c r="AD264"/>
  <c r="AD188"/>
  <c r="AD187"/>
  <c r="AD244"/>
  <c r="AD267"/>
  <c r="AD266"/>
  <c r="L59"/>
  <c r="I43" i="31"/>
  <c r="L11" i="29"/>
  <c r="I40" i="31"/>
  <c r="L34" i="29" s="1"/>
  <c r="I42" i="31"/>
  <c r="S374" i="29"/>
  <c r="S353"/>
  <c r="N59"/>
  <c r="X59"/>
  <c r="AA59"/>
  <c r="Y265"/>
  <c r="U97"/>
  <c r="U98" s="1"/>
  <c r="U104"/>
  <c r="U105" s="1"/>
  <c r="Q265"/>
  <c r="K374"/>
  <c r="K353"/>
  <c r="R179"/>
  <c r="Z179"/>
  <c r="X104"/>
  <c r="X105" s="1"/>
  <c r="X97"/>
  <c r="X98" s="1"/>
  <c r="S59"/>
  <c r="M59"/>
  <c r="M104"/>
  <c r="M105" s="1"/>
  <c r="M97"/>
  <c r="M98" s="1"/>
  <c r="W59"/>
  <c r="Y179"/>
  <c r="U59"/>
  <c r="T265"/>
  <c r="U40" i="31"/>
  <c r="X34" i="29" s="1"/>
  <c r="X11"/>
  <c r="U43" i="31"/>
  <c r="U42"/>
  <c r="L40"/>
  <c r="O34" i="29" s="1"/>
  <c r="L43" i="31"/>
  <c r="O11" i="29"/>
  <c r="L42" i="31"/>
  <c r="L179" i="29"/>
  <c r="Y104"/>
  <c r="Y105" s="1"/>
  <c r="Y97"/>
  <c r="Y98" s="1"/>
  <c r="U265"/>
  <c r="Q353"/>
  <c r="Q374"/>
  <c r="S125" i="24"/>
  <c r="W265" i="29"/>
  <c r="AC59"/>
  <c r="P59"/>
  <c r="AA256"/>
  <c r="Q256"/>
  <c r="N256"/>
  <c r="X256"/>
  <c r="AB256"/>
  <c r="W256"/>
  <c r="J256"/>
  <c r="S256"/>
  <c r="K256"/>
  <c r="Y256"/>
  <c r="O256"/>
  <c r="R256"/>
  <c r="T256"/>
  <c r="U256"/>
  <c r="V256"/>
  <c r="M256"/>
  <c r="L256"/>
  <c r="Z256"/>
  <c r="I256"/>
  <c r="AC256"/>
  <c r="P256"/>
  <c r="N179"/>
  <c r="Y43" i="31"/>
  <c r="Y40"/>
  <c r="AB34" i="29" s="1"/>
  <c r="AB11"/>
  <c r="Y42" i="31"/>
  <c r="Z59" i="29"/>
  <c r="K179"/>
  <c r="X353"/>
  <c r="X374"/>
  <c r="J43" i="31"/>
  <c r="J40"/>
  <c r="M34" i="29" s="1"/>
  <c r="I118" i="24" s="1"/>
  <c r="M11" i="29"/>
  <c r="J42" i="31"/>
  <c r="AB97" i="29"/>
  <c r="AB98" s="1"/>
  <c r="AB104"/>
  <c r="AB105" s="1"/>
  <c r="AA353"/>
  <c r="AA374"/>
  <c r="S116" i="24"/>
  <c r="W179" i="29"/>
  <c r="AD12"/>
  <c r="J179"/>
  <c r="Y59"/>
  <c r="U179"/>
  <c r="AC374"/>
  <c r="AC353"/>
  <c r="J165"/>
  <c r="AD165" s="1"/>
  <c r="AD164"/>
  <c r="Q59"/>
  <c r="AA179"/>
  <c r="N265"/>
  <c r="Y353"/>
  <c r="Y374"/>
  <c r="U353"/>
  <c r="U374"/>
  <c r="Q97"/>
  <c r="Q98" s="1"/>
  <c r="Q104"/>
  <c r="Q105" s="1"/>
  <c r="W374"/>
  <c r="W353"/>
  <c r="Z40" i="31"/>
  <c r="AC34" i="29" s="1"/>
  <c r="AC11"/>
  <c r="Z43" i="31"/>
  <c r="Z42"/>
  <c r="P179" i="29"/>
  <c r="K104"/>
  <c r="K105" s="1"/>
  <c r="K97"/>
  <c r="K98" s="1"/>
  <c r="S265"/>
  <c r="K43" i="31"/>
  <c r="K40"/>
  <c r="N34" i="29" s="1"/>
  <c r="N11"/>
  <c r="K42" i="31"/>
  <c r="R59" i="29"/>
  <c r="W40" i="31"/>
  <c r="Z34" i="29" s="1"/>
  <c r="Z11"/>
  <c r="W43" i="31"/>
  <c r="W42"/>
  <c r="H43"/>
  <c r="H42"/>
  <c r="K11" i="29"/>
  <c r="H40" i="31"/>
  <c r="K34" i="29" s="1"/>
  <c r="O265"/>
  <c r="S179"/>
  <c r="M353"/>
  <c r="M374"/>
  <c r="T40" i="31"/>
  <c r="W34" i="29" s="1"/>
  <c r="S118" i="24" s="1"/>
  <c r="T43" i="31"/>
  <c r="W11" i="29"/>
  <c r="S112" i="24" s="1"/>
  <c r="T42" i="31"/>
  <c r="AD10" i="29"/>
  <c r="J59"/>
  <c r="V179"/>
  <c r="R40" i="31"/>
  <c r="U34" i="29" s="1"/>
  <c r="R43" i="31"/>
  <c r="U11" i="29"/>
  <c r="R42" i="31"/>
  <c r="AC265" i="29"/>
  <c r="R265"/>
  <c r="P265"/>
  <c r="T104"/>
  <c r="T105" s="1"/>
  <c r="T97"/>
  <c r="T98" s="1"/>
  <c r="T353"/>
  <c r="T374"/>
  <c r="X179"/>
  <c r="N104"/>
  <c r="N105" s="1"/>
  <c r="N97"/>
  <c r="N98" s="1"/>
  <c r="M40" i="31"/>
  <c r="P34" i="29" s="1"/>
  <c r="M42" i="31"/>
  <c r="M43"/>
  <c r="P11" i="29"/>
  <c r="K265"/>
  <c r="O40" i="31"/>
  <c r="R34" i="29" s="1"/>
  <c r="O43" i="31"/>
  <c r="R11" i="29"/>
  <c r="O42" i="31"/>
  <c r="O353" i="29"/>
  <c r="O374"/>
  <c r="D332"/>
  <c r="J353"/>
  <c r="J374"/>
  <c r="X265"/>
  <c r="P43" i="31"/>
  <c r="P40"/>
  <c r="S34" i="29" s="1"/>
  <c r="P42" i="31"/>
  <c r="S11" i="29"/>
  <c r="I116" i="24"/>
  <c r="M179" i="29"/>
  <c r="AB265"/>
  <c r="I125" i="24"/>
  <c r="M265" i="29"/>
  <c r="AA265"/>
  <c r="G40" i="31"/>
  <c r="J34" i="29" s="1"/>
  <c r="G42" i="31"/>
  <c r="J11" i="29"/>
  <c r="G43" i="31"/>
  <c r="S40"/>
  <c r="V34" i="29" s="1"/>
  <c r="S43" i="31"/>
  <c r="V11" i="29"/>
  <c r="S42" i="31"/>
  <c r="V40"/>
  <c r="Y34" i="29" s="1"/>
  <c r="V43" i="31"/>
  <c r="Y11" i="29"/>
  <c r="V42" i="31"/>
  <c r="AC97" i="29"/>
  <c r="AC98" s="1"/>
  <c r="AC104"/>
  <c r="AC105" s="1"/>
  <c r="AD171"/>
  <c r="J172"/>
  <c r="AD172" s="1"/>
  <c r="R374"/>
  <c r="R353"/>
  <c r="J105"/>
  <c r="P374"/>
  <c r="P353"/>
  <c r="Q179"/>
  <c r="T179"/>
  <c r="O59"/>
  <c r="T59"/>
  <c r="X40" i="31"/>
  <c r="AA34" i="29" s="1"/>
  <c r="X43" i="31"/>
  <c r="AA11" i="29"/>
  <c r="X42" i="31"/>
  <c r="AB179" i="29"/>
  <c r="K59"/>
  <c r="Q40" i="31"/>
  <c r="T34" i="29" s="1"/>
  <c r="Q43" i="31"/>
  <c r="Q42"/>
  <c r="T11" i="29"/>
  <c r="O179"/>
  <c r="N353"/>
  <c r="N374"/>
  <c r="W104"/>
  <c r="W105" s="1"/>
  <c r="W97"/>
  <c r="W98" s="1"/>
  <c r="AC179"/>
  <c r="S104"/>
  <c r="S105" s="1"/>
  <c r="S97"/>
  <c r="S98" s="1"/>
  <c r="R258"/>
  <c r="R259" s="1"/>
  <c r="Q258"/>
  <c r="Q259" s="1"/>
  <c r="Z258"/>
  <c r="Z259" s="1"/>
  <c r="S258"/>
  <c r="S259" s="1"/>
  <c r="U258"/>
  <c r="U259" s="1"/>
  <c r="P258"/>
  <c r="P259" s="1"/>
  <c r="J258"/>
  <c r="J259" s="1"/>
  <c r="N258"/>
  <c r="N259" s="1"/>
  <c r="L258"/>
  <c r="L259" s="1"/>
  <c r="AA258"/>
  <c r="AA259" s="1"/>
  <c r="V258"/>
  <c r="V259" s="1"/>
  <c r="AC258"/>
  <c r="AC259" s="1"/>
  <c r="K258"/>
  <c r="K259" s="1"/>
  <c r="T258"/>
  <c r="T259" s="1"/>
  <c r="W258"/>
  <c r="W259" s="1"/>
  <c r="M258"/>
  <c r="M259" s="1"/>
  <c r="AB258"/>
  <c r="AB259" s="1"/>
  <c r="O258"/>
  <c r="O259" s="1"/>
  <c r="I258"/>
  <c r="Y258"/>
  <c r="Y259" s="1"/>
  <c r="X258"/>
  <c r="X259" s="1"/>
  <c r="AB59"/>
  <c r="O104"/>
  <c r="O105" s="1"/>
  <c r="O97"/>
  <c r="O98" s="1"/>
  <c r="AB353"/>
  <c r="AB374"/>
  <c r="AA104"/>
  <c r="AA105" s="1"/>
  <c r="AA97"/>
  <c r="AA98" s="1"/>
  <c r="V59"/>
  <c r="R97"/>
  <c r="R98" s="1"/>
  <c r="R104"/>
  <c r="R105" s="1"/>
  <c r="J98"/>
  <c r="P104"/>
  <c r="P105" s="1"/>
  <c r="P97"/>
  <c r="P98" s="1"/>
  <c r="N40" i="31"/>
  <c r="Q34" i="29" s="1"/>
  <c r="N43" i="31"/>
  <c r="Q11" i="29"/>
  <c r="N42" i="31"/>
  <c r="AD97" i="29" l="1"/>
  <c r="AD265"/>
  <c r="AD104"/>
  <c r="AD105"/>
  <c r="D353"/>
  <c r="C18" i="24" s="1"/>
  <c r="D374" i="29"/>
  <c r="C39" i="24" s="1"/>
  <c r="AD98" i="29"/>
  <c r="AC182"/>
  <c r="AC181"/>
  <c r="AA252"/>
  <c r="AA253" s="1"/>
  <c r="AA250"/>
  <c r="AA251" s="1"/>
  <c r="AA61"/>
  <c r="K252"/>
  <c r="K253" s="1"/>
  <c r="K250"/>
  <c r="K251" s="1"/>
  <c r="K61"/>
  <c r="T252"/>
  <c r="T253" s="1"/>
  <c r="T61"/>
  <c r="T250"/>
  <c r="T251" s="1"/>
  <c r="X36" i="31"/>
  <c r="X37" s="1"/>
  <c r="AA36" i="29"/>
  <c r="T182"/>
  <c r="T181"/>
  <c r="Y37"/>
  <c r="Y232" s="1"/>
  <c r="Y238" s="1"/>
  <c r="V44" i="31"/>
  <c r="Y38" i="29" s="1"/>
  <c r="G36" i="31"/>
  <c r="G37" s="1"/>
  <c r="J36" i="29"/>
  <c r="M182"/>
  <c r="M181"/>
  <c r="M252"/>
  <c r="M253" s="1"/>
  <c r="M250"/>
  <c r="M251" s="1"/>
  <c r="M61"/>
  <c r="Y44" i="31"/>
  <c r="AB38" i="29" s="1"/>
  <c r="AB37"/>
  <c r="AB232" s="1"/>
  <c r="AB238" s="1"/>
  <c r="N44" i="31"/>
  <c r="Q38" i="29" s="1"/>
  <c r="Q37"/>
  <c r="Q232" s="1"/>
  <c r="Q238" s="1"/>
  <c r="AD258"/>
  <c r="I259"/>
  <c r="AD259" s="1"/>
  <c r="Y252"/>
  <c r="Y253" s="1"/>
  <c r="Y250"/>
  <c r="Y251" s="1"/>
  <c r="Y61"/>
  <c r="V252"/>
  <c r="V253" s="1"/>
  <c r="V250"/>
  <c r="V251" s="1"/>
  <c r="V61"/>
  <c r="J252"/>
  <c r="AD11"/>
  <c r="J61"/>
  <c r="J250"/>
  <c r="P36" i="31"/>
  <c r="P37" s="1"/>
  <c r="S36" i="29"/>
  <c r="R37"/>
  <c r="R232" s="1"/>
  <c r="R238" s="1"/>
  <c r="O44" i="31"/>
  <c r="R38" i="29" s="1"/>
  <c r="P252"/>
  <c r="P253" s="1"/>
  <c r="P250"/>
  <c r="P251" s="1"/>
  <c r="P61"/>
  <c r="U37"/>
  <c r="U232" s="1"/>
  <c r="U238" s="1"/>
  <c r="R44" i="31"/>
  <c r="U38" i="29" s="1"/>
  <c r="AD59"/>
  <c r="W252"/>
  <c r="W253" s="1"/>
  <c r="W61"/>
  <c r="W250"/>
  <c r="W251" s="1"/>
  <c r="K37"/>
  <c r="K232" s="1"/>
  <c r="K238" s="1"/>
  <c r="H44" i="31"/>
  <c r="K38" i="29" s="1"/>
  <c r="N252"/>
  <c r="N253" s="1"/>
  <c r="N250"/>
  <c r="N251" s="1"/>
  <c r="N61"/>
  <c r="J36" i="31"/>
  <c r="J37" s="1"/>
  <c r="M36" i="29"/>
  <c r="P257"/>
  <c r="L257"/>
  <c r="T257"/>
  <c r="K257"/>
  <c r="AB257"/>
  <c r="AA257"/>
  <c r="O252"/>
  <c r="O253" s="1"/>
  <c r="O250"/>
  <c r="O251" s="1"/>
  <c r="O61"/>
  <c r="U44" i="31"/>
  <c r="X38" i="29" s="1"/>
  <c r="X37"/>
  <c r="X232" s="1"/>
  <c r="X238" s="1"/>
  <c r="N36" i="31"/>
  <c r="N37" s="1"/>
  <c r="Q36" i="29"/>
  <c r="Q252"/>
  <c r="Q253" s="1"/>
  <c r="Q250"/>
  <c r="Q251" s="1"/>
  <c r="Q61"/>
  <c r="O182"/>
  <c r="O181"/>
  <c r="Q44" i="31"/>
  <c r="T38" i="29" s="1"/>
  <c r="T37"/>
  <c r="T232" s="1"/>
  <c r="T238" s="1"/>
  <c r="AB182"/>
  <c r="AB181"/>
  <c r="AA37"/>
  <c r="AA232" s="1"/>
  <c r="AA238" s="1"/>
  <c r="X44" i="31"/>
  <c r="AA38" i="29" s="1"/>
  <c r="Q181"/>
  <c r="Q182"/>
  <c r="V36" i="31"/>
  <c r="V37" s="1"/>
  <c r="Y36" i="29"/>
  <c r="S36" i="31"/>
  <c r="S37" s="1"/>
  <c r="V36" i="29"/>
  <c r="G44" i="31"/>
  <c r="J38" i="29" s="1"/>
  <c r="J37"/>
  <c r="J232" s="1"/>
  <c r="S252"/>
  <c r="S253" s="1"/>
  <c r="S61"/>
  <c r="S250"/>
  <c r="S251" s="1"/>
  <c r="S324" s="1"/>
  <c r="R252"/>
  <c r="R253" s="1"/>
  <c r="R61"/>
  <c r="R250"/>
  <c r="R251" s="1"/>
  <c r="U252"/>
  <c r="U253" s="1"/>
  <c r="U61"/>
  <c r="U250"/>
  <c r="U251" s="1"/>
  <c r="T36" i="31"/>
  <c r="T37" s="1"/>
  <c r="W36" i="29"/>
  <c r="H36" i="31"/>
  <c r="H37" s="1"/>
  <c r="K36" i="29"/>
  <c r="Z252"/>
  <c r="Z253" s="1"/>
  <c r="Z250"/>
  <c r="Z251" s="1"/>
  <c r="Z61"/>
  <c r="K36" i="31"/>
  <c r="K37" s="1"/>
  <c r="N36" i="29"/>
  <c r="P182"/>
  <c r="P181"/>
  <c r="AC252"/>
  <c r="AC253" s="1"/>
  <c r="AC61"/>
  <c r="AC250"/>
  <c r="AC251" s="1"/>
  <c r="AC324" s="1"/>
  <c r="AA182"/>
  <c r="AA181"/>
  <c r="U182"/>
  <c r="U181"/>
  <c r="AD179"/>
  <c r="J182"/>
  <c r="J181"/>
  <c r="M37"/>
  <c r="M232" s="1"/>
  <c r="M238" s="1"/>
  <c r="J44" i="31"/>
  <c r="M38" i="29" s="1"/>
  <c r="AB252"/>
  <c r="AB253" s="1"/>
  <c r="AB61"/>
  <c r="AB250"/>
  <c r="AB251" s="1"/>
  <c r="AB324" s="1"/>
  <c r="N182"/>
  <c r="N181"/>
  <c r="Z257"/>
  <c r="U257"/>
  <c r="Y257"/>
  <c r="W257"/>
  <c r="Q257"/>
  <c r="L36" i="31"/>
  <c r="L37" s="1"/>
  <c r="O36" i="29"/>
  <c r="U36" i="31"/>
  <c r="U37" s="1"/>
  <c r="X36" i="29"/>
  <c r="Y182"/>
  <c r="Y181"/>
  <c r="Z182"/>
  <c r="Z181"/>
  <c r="I36" i="31"/>
  <c r="I37" s="1"/>
  <c r="L36" i="29"/>
  <c r="Q36" i="31"/>
  <c r="Q37" s="1"/>
  <c r="T36" i="29"/>
  <c r="AD34"/>
  <c r="M36" i="31"/>
  <c r="M37" s="1"/>
  <c r="P36" i="29"/>
  <c r="R36" i="31"/>
  <c r="R37" s="1"/>
  <c r="U36" i="29"/>
  <c r="W44" i="31"/>
  <c r="Z38" i="29" s="1"/>
  <c r="Z37"/>
  <c r="Z232" s="1"/>
  <c r="Z238" s="1"/>
  <c r="K44" i="31"/>
  <c r="N38" i="29" s="1"/>
  <c r="N37"/>
  <c r="N232" s="1"/>
  <c r="N238" s="1"/>
  <c r="AC37"/>
  <c r="AC232" s="1"/>
  <c r="AC238" s="1"/>
  <c r="Z44" i="31"/>
  <c r="AC38" i="29" s="1"/>
  <c r="W182"/>
  <c r="W181"/>
  <c r="K181"/>
  <c r="K182"/>
  <c r="Y36" i="31"/>
  <c r="Y37" s="1"/>
  <c r="AB36" i="29"/>
  <c r="AD256"/>
  <c r="I257"/>
  <c r="V257"/>
  <c r="O257"/>
  <c r="J257"/>
  <c r="N257"/>
  <c r="L37"/>
  <c r="L232" s="1"/>
  <c r="L238" s="1"/>
  <c r="I44" i="31"/>
  <c r="L38" i="29" s="1"/>
  <c r="I112" i="24"/>
  <c r="P44" i="31"/>
  <c r="S38" i="29" s="1"/>
  <c r="S37"/>
  <c r="S232" s="1"/>
  <c r="S238" s="1"/>
  <c r="O36" i="31"/>
  <c r="O37" s="1"/>
  <c r="R36" i="29"/>
  <c r="X182"/>
  <c r="X181"/>
  <c r="V182"/>
  <c r="V181"/>
  <c r="V37"/>
  <c r="V232" s="1"/>
  <c r="V238" s="1"/>
  <c r="S44" i="31"/>
  <c r="V38" i="29" s="1"/>
  <c r="M44" i="31"/>
  <c r="P38" i="29" s="1"/>
  <c r="P37"/>
  <c r="P232" s="1"/>
  <c r="P238" s="1"/>
  <c r="T44" i="31"/>
  <c r="W38" i="29" s="1"/>
  <c r="W37"/>
  <c r="W232" s="1"/>
  <c r="W238" s="1"/>
  <c r="S182"/>
  <c r="S181"/>
  <c r="W36" i="31"/>
  <c r="W37" s="1"/>
  <c r="Z36" i="29"/>
  <c r="Z36" i="31"/>
  <c r="Z37" s="1"/>
  <c r="AC36" i="29"/>
  <c r="AC257"/>
  <c r="M257"/>
  <c r="R257"/>
  <c r="S257"/>
  <c r="X257"/>
  <c r="L182"/>
  <c r="L181"/>
  <c r="L44" i="31"/>
  <c r="O38" i="29" s="1"/>
  <c r="O37"/>
  <c r="O232" s="1"/>
  <c r="O238" s="1"/>
  <c r="X252"/>
  <c r="X253" s="1"/>
  <c r="X61"/>
  <c r="X250"/>
  <c r="X251" s="1"/>
  <c r="R182"/>
  <c r="R181"/>
  <c r="L252"/>
  <c r="L253" s="1"/>
  <c r="L61"/>
  <c r="L250"/>
  <c r="L251" s="1"/>
  <c r="J238" l="1"/>
  <c r="AD232"/>
  <c r="I124" i="24"/>
  <c r="R324" i="29"/>
  <c r="R366" s="1"/>
  <c r="R367" s="1"/>
  <c r="AB206"/>
  <c r="AB329" s="1"/>
  <c r="O206"/>
  <c r="O329" s="1"/>
  <c r="P324"/>
  <c r="X324"/>
  <c r="X325" s="1"/>
  <c r="X206"/>
  <c r="X329" s="1"/>
  <c r="Z324"/>
  <c r="V324"/>
  <c r="V366" s="1"/>
  <c r="V367" s="1"/>
  <c r="AC206"/>
  <c r="AC329" s="1"/>
  <c r="L206"/>
  <c r="L329" s="1"/>
  <c r="S206"/>
  <c r="S329" s="1"/>
  <c r="S371" s="1"/>
  <c r="S124" i="24"/>
  <c r="AD182" i="29"/>
  <c r="W324"/>
  <c r="W325" s="1"/>
  <c r="M324"/>
  <c r="M366" s="1"/>
  <c r="M367" s="1"/>
  <c r="T206"/>
  <c r="T329" s="1"/>
  <c r="T324"/>
  <c r="K324"/>
  <c r="U206"/>
  <c r="U329" s="1"/>
  <c r="U350" s="1"/>
  <c r="R206"/>
  <c r="R329" s="1"/>
  <c r="R350" s="1"/>
  <c r="L70"/>
  <c r="L71" s="1"/>
  <c r="L77"/>
  <c r="L78" s="1"/>
  <c r="O221"/>
  <c r="O222" s="1"/>
  <c r="V276"/>
  <c r="V231"/>
  <c r="V237" s="1"/>
  <c r="V280"/>
  <c r="V281" s="1"/>
  <c r="V210"/>
  <c r="V278"/>
  <c r="V279" s="1"/>
  <c r="T230"/>
  <c r="T236" s="1"/>
  <c r="T228"/>
  <c r="T234" s="1"/>
  <c r="T229"/>
  <c r="T235" s="1"/>
  <c r="T124" i="44"/>
  <c r="T130" s="1"/>
  <c r="T135" s="1"/>
  <c r="T192" i="35"/>
  <c r="T198" s="1"/>
  <c r="T203" s="1"/>
  <c r="T130" i="45"/>
  <c r="T136" s="1"/>
  <c r="T141" s="1"/>
  <c r="T129" i="46"/>
  <c r="T135" s="1"/>
  <c r="T140" s="1"/>
  <c r="T131" i="47"/>
  <c r="T137" s="1"/>
  <c r="T142" s="1"/>
  <c r="AB366" i="29"/>
  <c r="AB367" s="1"/>
  <c r="AB345"/>
  <c r="AB346" s="1"/>
  <c r="AB325"/>
  <c r="AC345"/>
  <c r="AC366"/>
  <c r="S366"/>
  <c r="S367" s="1"/>
  <c r="S325"/>
  <c r="S345"/>
  <c r="S346" s="1"/>
  <c r="O276"/>
  <c r="O278"/>
  <c r="O279" s="1"/>
  <c r="O280"/>
  <c r="O281" s="1"/>
  <c r="O231"/>
  <c r="O237" s="1"/>
  <c r="O210"/>
  <c r="AC43"/>
  <c r="AC44"/>
  <c r="AC213" s="1"/>
  <c r="Z230"/>
  <c r="Z236" s="1"/>
  <c r="Z229"/>
  <c r="Z235" s="1"/>
  <c r="Z228"/>
  <c r="Z234" s="1"/>
  <c r="Z130" i="45"/>
  <c r="Z136" s="1"/>
  <c r="Z141" s="1"/>
  <c r="Z129" i="46"/>
  <c r="Z135" s="1"/>
  <c r="Z140" s="1"/>
  <c r="Z131" i="47"/>
  <c r="Z137" s="1"/>
  <c r="Z142" s="1"/>
  <c r="Z124" i="44"/>
  <c r="Z130" s="1"/>
  <c r="Z135" s="1"/>
  <c r="Z192" i="35"/>
  <c r="Z198" s="1"/>
  <c r="Z203" s="1"/>
  <c r="V221" i="29"/>
  <c r="V222" s="1"/>
  <c r="R229"/>
  <c r="R235" s="1"/>
  <c r="R230"/>
  <c r="R236" s="1"/>
  <c r="R228"/>
  <c r="R234" s="1"/>
  <c r="R192" i="35"/>
  <c r="R198" s="1"/>
  <c r="R203" s="1"/>
  <c r="R129" i="46"/>
  <c r="R135" s="1"/>
  <c r="R140" s="1"/>
  <c r="R131" i="47"/>
  <c r="R137" s="1"/>
  <c r="R142" s="1"/>
  <c r="R124" i="44"/>
  <c r="R130" s="1"/>
  <c r="R135" s="1"/>
  <c r="R130" i="45"/>
  <c r="R136" s="1"/>
  <c r="R141" s="1"/>
  <c r="AB44" i="29"/>
  <c r="AB213" s="1"/>
  <c r="AB43"/>
  <c r="N221"/>
  <c r="N222" s="1"/>
  <c r="U43"/>
  <c r="U44"/>
  <c r="U213" s="1"/>
  <c r="L43"/>
  <c r="L44"/>
  <c r="L213" s="1"/>
  <c r="O230"/>
  <c r="O236" s="1"/>
  <c r="O229"/>
  <c r="O235" s="1"/>
  <c r="O130" i="45"/>
  <c r="O136" s="1"/>
  <c r="O141" s="1"/>
  <c r="O124" i="44"/>
  <c r="O130" s="1"/>
  <c r="O135" s="1"/>
  <c r="O228" i="29"/>
  <c r="O234" s="1"/>
  <c r="O239" s="1"/>
  <c r="O131" i="47"/>
  <c r="O137" s="1"/>
  <c r="O142" s="1"/>
  <c r="O192" i="35"/>
  <c r="O198" s="1"/>
  <c r="O203" s="1"/>
  <c r="O129" i="46"/>
  <c r="O135" s="1"/>
  <c r="O140" s="1"/>
  <c r="Z77" i="29"/>
  <c r="Z78" s="1"/>
  <c r="Z70"/>
  <c r="Z71" s="1"/>
  <c r="AD37"/>
  <c r="J278"/>
  <c r="J280"/>
  <c r="J231"/>
  <c r="J210"/>
  <c r="J276"/>
  <c r="Y230"/>
  <c r="Y236" s="1"/>
  <c r="Y229"/>
  <c r="Y235" s="1"/>
  <c r="Y130" i="45"/>
  <c r="Y136" s="1"/>
  <c r="Y141" s="1"/>
  <c r="Y192" i="35"/>
  <c r="Y198" s="1"/>
  <c r="Y203" s="1"/>
  <c r="Y124" i="44"/>
  <c r="Y130" s="1"/>
  <c r="Y135" s="1"/>
  <c r="Y131" i="47"/>
  <c r="Y137" s="1"/>
  <c r="Y142" s="1"/>
  <c r="Y129" i="46"/>
  <c r="Y135" s="1"/>
  <c r="Y140" s="1"/>
  <c r="Y228" i="29"/>
  <c r="Y234" s="1"/>
  <c r="AA278"/>
  <c r="AA279" s="1"/>
  <c r="AA276"/>
  <c r="AA280"/>
  <c r="AA281" s="1"/>
  <c r="AA210"/>
  <c r="AA231"/>
  <c r="AA237" s="1"/>
  <c r="T221"/>
  <c r="T222" s="1"/>
  <c r="W345"/>
  <c r="W346" s="1"/>
  <c r="W366"/>
  <c r="W367" s="1"/>
  <c r="U276"/>
  <c r="U231"/>
  <c r="U237" s="1"/>
  <c r="U280"/>
  <c r="U281" s="1"/>
  <c r="U210"/>
  <c r="U278"/>
  <c r="U279" s="1"/>
  <c r="AD250"/>
  <c r="J251"/>
  <c r="M70"/>
  <c r="M71" s="1"/>
  <c r="M77"/>
  <c r="M78" s="1"/>
  <c r="AC230"/>
  <c r="AC236" s="1"/>
  <c r="AC229"/>
  <c r="AC235" s="1"/>
  <c r="AC228"/>
  <c r="AC234" s="1"/>
  <c r="AC192" i="35"/>
  <c r="AC198" s="1"/>
  <c r="AC203" s="1"/>
  <c r="AC131" i="47"/>
  <c r="AC137" s="1"/>
  <c r="AC142" s="1"/>
  <c r="AC129" i="46"/>
  <c r="AC135" s="1"/>
  <c r="AC140" s="1"/>
  <c r="AC130" i="45"/>
  <c r="AC136" s="1"/>
  <c r="AC141" s="1"/>
  <c r="AC124" i="44"/>
  <c r="AC130" s="1"/>
  <c r="AC135" s="1"/>
  <c r="P221" i="29"/>
  <c r="P222" s="1"/>
  <c r="S221"/>
  <c r="S222" s="1"/>
  <c r="L276"/>
  <c r="L231"/>
  <c r="L237" s="1"/>
  <c r="L210"/>
  <c r="L280"/>
  <c r="L281" s="1"/>
  <c r="L278"/>
  <c r="L279" s="1"/>
  <c r="AB230"/>
  <c r="AB236" s="1"/>
  <c r="AB229"/>
  <c r="AB235" s="1"/>
  <c r="AB228"/>
  <c r="AB234" s="1"/>
  <c r="AB192" i="35"/>
  <c r="AB198" s="1"/>
  <c r="AB203" s="1"/>
  <c r="AB130" i="45"/>
  <c r="AB136" s="1"/>
  <c r="AB141" s="1"/>
  <c r="AB124" i="44"/>
  <c r="AB130" s="1"/>
  <c r="AB135" s="1"/>
  <c r="AB131" i="47"/>
  <c r="AB137" s="1"/>
  <c r="AB142" s="1"/>
  <c r="AB129" i="46"/>
  <c r="AB135" s="1"/>
  <c r="AB140" s="1"/>
  <c r="N280" i="29"/>
  <c r="N281" s="1"/>
  <c r="N278"/>
  <c r="N279" s="1"/>
  <c r="N276"/>
  <c r="N231"/>
  <c r="N237" s="1"/>
  <c r="N210"/>
  <c r="U230"/>
  <c r="U236" s="1"/>
  <c r="U229"/>
  <c r="U235" s="1"/>
  <c r="U131" i="47"/>
  <c r="U137" s="1"/>
  <c r="U142" s="1"/>
  <c r="U228" i="29"/>
  <c r="U234" s="1"/>
  <c r="U239" s="1"/>
  <c r="U129" i="46"/>
  <c r="U135" s="1"/>
  <c r="U140" s="1"/>
  <c r="U192" i="35"/>
  <c r="U198" s="1"/>
  <c r="U203" s="1"/>
  <c r="U124" i="44"/>
  <c r="U130" s="1"/>
  <c r="U135" s="1"/>
  <c r="U130" i="45"/>
  <c r="U136" s="1"/>
  <c r="U141" s="1"/>
  <c r="L230" i="29"/>
  <c r="L236" s="1"/>
  <c r="L229"/>
  <c r="L235" s="1"/>
  <c r="L129" i="46"/>
  <c r="L135" s="1"/>
  <c r="L140" s="1"/>
  <c r="L192" i="35"/>
  <c r="L198" s="1"/>
  <c r="L203" s="1"/>
  <c r="L124" i="44"/>
  <c r="L130" s="1"/>
  <c r="L135" s="1"/>
  <c r="L228" i="29"/>
  <c r="L234" s="1"/>
  <c r="L131" i="47"/>
  <c r="L137" s="1"/>
  <c r="L142" s="1"/>
  <c r="L130" i="45"/>
  <c r="L136" s="1"/>
  <c r="L141" s="1"/>
  <c r="X43" i="29"/>
  <c r="X44"/>
  <c r="X213" s="1"/>
  <c r="N43"/>
  <c r="N44"/>
  <c r="N213" s="1"/>
  <c r="K230"/>
  <c r="K236" s="1"/>
  <c r="K229"/>
  <c r="K235" s="1"/>
  <c r="K124" i="44"/>
  <c r="K130" s="1"/>
  <c r="K135" s="1"/>
  <c r="K192" i="35"/>
  <c r="K198" s="1"/>
  <c r="K203" s="1"/>
  <c r="K228" i="29"/>
  <c r="K234" s="1"/>
  <c r="K130" i="45"/>
  <c r="K136" s="1"/>
  <c r="K141" s="1"/>
  <c r="K129" i="46"/>
  <c r="K135" s="1"/>
  <c r="K140" s="1"/>
  <c r="K131" i="47"/>
  <c r="K137" s="1"/>
  <c r="K142" s="1"/>
  <c r="R70" i="29"/>
  <c r="R71" s="1"/>
  <c r="R77"/>
  <c r="R78" s="1"/>
  <c r="V44"/>
  <c r="V213" s="1"/>
  <c r="V43"/>
  <c r="AA221"/>
  <c r="AA222" s="1"/>
  <c r="T276"/>
  <c r="T280"/>
  <c r="T281" s="1"/>
  <c r="T231"/>
  <c r="T237" s="1"/>
  <c r="T278"/>
  <c r="T279" s="1"/>
  <c r="T210"/>
  <c r="Q77"/>
  <c r="Q78" s="1"/>
  <c r="Q70"/>
  <c r="Q71" s="1"/>
  <c r="Q43"/>
  <c r="Q44"/>
  <c r="Q213" s="1"/>
  <c r="O77"/>
  <c r="O78" s="1"/>
  <c r="O70"/>
  <c r="O71" s="1"/>
  <c r="N77"/>
  <c r="N78" s="1"/>
  <c r="N70"/>
  <c r="N71" s="1"/>
  <c r="K276"/>
  <c r="K280"/>
  <c r="K281" s="1"/>
  <c r="K231"/>
  <c r="K237" s="1"/>
  <c r="K210"/>
  <c r="K278"/>
  <c r="K279" s="1"/>
  <c r="U221"/>
  <c r="U222" s="1"/>
  <c r="S43"/>
  <c r="S44"/>
  <c r="S213" s="1"/>
  <c r="AD252"/>
  <c r="J253"/>
  <c r="AD253" s="1"/>
  <c r="Y70"/>
  <c r="Y71" s="1"/>
  <c r="Y77"/>
  <c r="Y78" s="1"/>
  <c r="AB221"/>
  <c r="AB222" s="1"/>
  <c r="Y221"/>
  <c r="Y222" s="1"/>
  <c r="AA229"/>
  <c r="AA235" s="1"/>
  <c r="AA230"/>
  <c r="AA236" s="1"/>
  <c r="AA124" i="44"/>
  <c r="AA130" s="1"/>
  <c r="AA135" s="1"/>
  <c r="AA192" i="35"/>
  <c r="AA198" s="1"/>
  <c r="AA203" s="1"/>
  <c r="AA129" i="46"/>
  <c r="AA135" s="1"/>
  <c r="AA140" s="1"/>
  <c r="AA131" i="47"/>
  <c r="AA137" s="1"/>
  <c r="AA142" s="1"/>
  <c r="AA228" i="29"/>
  <c r="AA234" s="1"/>
  <c r="AA130" i="45"/>
  <c r="AA136" s="1"/>
  <c r="AA141" s="1"/>
  <c r="AA77" i="29"/>
  <c r="AA78" s="1"/>
  <c r="AA70"/>
  <c r="AA71" s="1"/>
  <c r="L324"/>
  <c r="V206"/>
  <c r="V329" s="1"/>
  <c r="Y206"/>
  <c r="Y329" s="1"/>
  <c r="O324"/>
  <c r="Y324"/>
  <c r="AA324"/>
  <c r="W206"/>
  <c r="W329" s="1"/>
  <c r="Z206"/>
  <c r="Z329" s="1"/>
  <c r="N206"/>
  <c r="N329" s="1"/>
  <c r="AA206"/>
  <c r="AA329" s="1"/>
  <c r="U324"/>
  <c r="Q206"/>
  <c r="Q329" s="1"/>
  <c r="M206"/>
  <c r="M329" s="1"/>
  <c r="R371"/>
  <c r="X70"/>
  <c r="X71" s="1"/>
  <c r="X77"/>
  <c r="X78" s="1"/>
  <c r="L350"/>
  <c r="L371"/>
  <c r="P276"/>
  <c r="P231"/>
  <c r="P237" s="1"/>
  <c r="P280"/>
  <c r="P281" s="1"/>
  <c r="P278"/>
  <c r="P279" s="1"/>
  <c r="P210"/>
  <c r="X350"/>
  <c r="X371"/>
  <c r="S210"/>
  <c r="S231"/>
  <c r="S237" s="1"/>
  <c r="S276"/>
  <c r="S278"/>
  <c r="S279" s="1"/>
  <c r="S280"/>
  <c r="S281" s="1"/>
  <c r="L221"/>
  <c r="L222" s="1"/>
  <c r="AC276"/>
  <c r="AC231"/>
  <c r="AC237" s="1"/>
  <c r="AC280"/>
  <c r="AC281" s="1"/>
  <c r="AC278"/>
  <c r="AC279" s="1"/>
  <c r="AC210"/>
  <c r="Z221"/>
  <c r="Z222" s="1"/>
  <c r="P43"/>
  <c r="P44"/>
  <c r="P213" s="1"/>
  <c r="T43"/>
  <c r="T44"/>
  <c r="T213" s="1"/>
  <c r="X230"/>
  <c r="X236" s="1"/>
  <c r="X229"/>
  <c r="X235" s="1"/>
  <c r="X124" i="44"/>
  <c r="X130" s="1"/>
  <c r="X135" s="1"/>
  <c r="X131" i="47"/>
  <c r="X137" s="1"/>
  <c r="X142" s="1"/>
  <c r="X228" i="29"/>
  <c r="X234" s="1"/>
  <c r="X192" i="35"/>
  <c r="X198" s="1"/>
  <c r="X203" s="1"/>
  <c r="X130" i="45"/>
  <c r="X136" s="1"/>
  <c r="X141" s="1"/>
  <c r="X129" i="46"/>
  <c r="X135" s="1"/>
  <c r="X140" s="1"/>
  <c r="AB77" i="29"/>
  <c r="AB78" s="1"/>
  <c r="AB70"/>
  <c r="AB71" s="1"/>
  <c r="AD181"/>
  <c r="J206"/>
  <c r="AC77"/>
  <c r="AC78" s="1"/>
  <c r="AC70"/>
  <c r="AC71" s="1"/>
  <c r="N229"/>
  <c r="N235" s="1"/>
  <c r="N230"/>
  <c r="N236" s="1"/>
  <c r="N129" i="46"/>
  <c r="N135" s="1"/>
  <c r="N140" s="1"/>
  <c r="N228" i="29"/>
  <c r="N234" s="1"/>
  <c r="N192" i="35"/>
  <c r="N198" s="1"/>
  <c r="N203" s="1"/>
  <c r="N131" i="47"/>
  <c r="N137" s="1"/>
  <c r="N142" s="1"/>
  <c r="N130" i="45"/>
  <c r="N136" s="1"/>
  <c r="N141" s="1"/>
  <c r="N124" i="44"/>
  <c r="N130" s="1"/>
  <c r="N135" s="1"/>
  <c r="W43" i="29"/>
  <c r="W44"/>
  <c r="W213" s="1"/>
  <c r="R345"/>
  <c r="R346" s="1"/>
  <c r="S70"/>
  <c r="S71" s="1"/>
  <c r="S77"/>
  <c r="S78" s="1"/>
  <c r="V230"/>
  <c r="V236" s="1"/>
  <c r="V229"/>
  <c r="V235" s="1"/>
  <c r="V130" i="45"/>
  <c r="V136" s="1"/>
  <c r="V141" s="1"/>
  <c r="V124" i="44"/>
  <c r="V130" s="1"/>
  <c r="V135" s="1"/>
  <c r="V192" i="35"/>
  <c r="V198" s="1"/>
  <c r="V203" s="1"/>
  <c r="V228" i="29"/>
  <c r="V234" s="1"/>
  <c r="V131" i="47"/>
  <c r="V137" s="1"/>
  <c r="V142" s="1"/>
  <c r="V129" i="46"/>
  <c r="V135" s="1"/>
  <c r="V140" s="1"/>
  <c r="Q229" i="29"/>
  <c r="Q235" s="1"/>
  <c r="Q230"/>
  <c r="Q236" s="1"/>
  <c r="Q124" i="44"/>
  <c r="Q130" s="1"/>
  <c r="Q135" s="1"/>
  <c r="Q129" i="46"/>
  <c r="Q135" s="1"/>
  <c r="Q140" s="1"/>
  <c r="Q228" i="29"/>
  <c r="Q234" s="1"/>
  <c r="Q130" i="45"/>
  <c r="Q136" s="1"/>
  <c r="Q141" s="1"/>
  <c r="Q131" i="47"/>
  <c r="Q137" s="1"/>
  <c r="Q142" s="1"/>
  <c r="Q192" i="35"/>
  <c r="Q198" s="1"/>
  <c r="Q203" s="1"/>
  <c r="X221" i="29"/>
  <c r="X222" s="1"/>
  <c r="M43"/>
  <c r="M44"/>
  <c r="M213" s="1"/>
  <c r="K221"/>
  <c r="K222" s="1"/>
  <c r="P366"/>
  <c r="P367" s="1"/>
  <c r="P345"/>
  <c r="P346" s="1"/>
  <c r="P325"/>
  <c r="S229"/>
  <c r="S235" s="1"/>
  <c r="S230"/>
  <c r="S236" s="1"/>
  <c r="S130" i="45"/>
  <c r="S136" s="1"/>
  <c r="S141" s="1"/>
  <c r="S124" i="44"/>
  <c r="S130" s="1"/>
  <c r="S135" s="1"/>
  <c r="S129" i="46"/>
  <c r="S135" s="1"/>
  <c r="S140" s="1"/>
  <c r="S192" i="35"/>
  <c r="S198" s="1"/>
  <c r="S203" s="1"/>
  <c r="S228" i="29"/>
  <c r="S234" s="1"/>
  <c r="S131" i="47"/>
  <c r="S137" s="1"/>
  <c r="S142" s="1"/>
  <c r="AB276" i="29"/>
  <c r="AB278"/>
  <c r="AB279" s="1"/>
  <c r="AB231"/>
  <c r="AB237" s="1"/>
  <c r="AB280"/>
  <c r="AB281" s="1"/>
  <c r="AB210"/>
  <c r="AB219" s="1"/>
  <c r="AB330" s="1"/>
  <c r="J43"/>
  <c r="J44"/>
  <c r="T77"/>
  <c r="T78" s="1"/>
  <c r="T70"/>
  <c r="T71" s="1"/>
  <c r="AC371"/>
  <c r="AC350"/>
  <c r="K206"/>
  <c r="K329" s="1"/>
  <c r="X345"/>
  <c r="X346" s="1"/>
  <c r="S122" i="24"/>
  <c r="W221" i="29"/>
  <c r="W222" s="1"/>
  <c r="R43"/>
  <c r="R44"/>
  <c r="R213" s="1"/>
  <c r="Z231"/>
  <c r="Z237" s="1"/>
  <c r="Z278"/>
  <c r="Z279" s="1"/>
  <c r="Z276"/>
  <c r="Z280"/>
  <c r="Z281" s="1"/>
  <c r="Z210"/>
  <c r="I121" i="24"/>
  <c r="M276" i="29"/>
  <c r="M278"/>
  <c r="M279" s="1"/>
  <c r="M280"/>
  <c r="M281" s="1"/>
  <c r="M231"/>
  <c r="M237" s="1"/>
  <c r="M210"/>
  <c r="Z366"/>
  <c r="Z367" s="1"/>
  <c r="Z345"/>
  <c r="Z346" s="1"/>
  <c r="Z325"/>
  <c r="AD38"/>
  <c r="J221"/>
  <c r="Y43"/>
  <c r="Y44"/>
  <c r="Y213" s="1"/>
  <c r="O350"/>
  <c r="O371"/>
  <c r="X276"/>
  <c r="X280"/>
  <c r="X281" s="1"/>
  <c r="X231"/>
  <c r="X237" s="1"/>
  <c r="X278"/>
  <c r="X279" s="1"/>
  <c r="X210"/>
  <c r="X219" s="1"/>
  <c r="X330" s="1"/>
  <c r="M230"/>
  <c r="M236" s="1"/>
  <c r="I120" i="24"/>
  <c r="M229" i="29"/>
  <c r="M235" s="1"/>
  <c r="M228"/>
  <c r="M234" s="1"/>
  <c r="M124" i="44"/>
  <c r="M130" s="1"/>
  <c r="M135" s="1"/>
  <c r="M192" i="35"/>
  <c r="M198" s="1"/>
  <c r="M203" s="1"/>
  <c r="M131" i="47"/>
  <c r="M137" s="1"/>
  <c r="M142" s="1"/>
  <c r="M129" i="46"/>
  <c r="M135" s="1"/>
  <c r="M140" s="1"/>
  <c r="M130" i="45"/>
  <c r="M136" s="1"/>
  <c r="M141" s="1"/>
  <c r="W77" i="29"/>
  <c r="W78" s="1"/>
  <c r="W70"/>
  <c r="W71" s="1"/>
  <c r="P77"/>
  <c r="P78" s="1"/>
  <c r="P70"/>
  <c r="P71" s="1"/>
  <c r="R278"/>
  <c r="R279" s="1"/>
  <c r="R276"/>
  <c r="R231"/>
  <c r="R237" s="1"/>
  <c r="R280"/>
  <c r="R281" s="1"/>
  <c r="R210"/>
  <c r="AD61"/>
  <c r="J70"/>
  <c r="J77"/>
  <c r="Q221"/>
  <c r="Q222" s="1"/>
  <c r="AD36"/>
  <c r="J229"/>
  <c r="J192" i="35"/>
  <c r="J230" i="29"/>
  <c r="J228"/>
  <c r="J131" i="47"/>
  <c r="J124" i="44"/>
  <c r="J130" i="45"/>
  <c r="J129" i="46"/>
  <c r="T371" i="29"/>
  <c r="T350"/>
  <c r="T325"/>
  <c r="T345"/>
  <c r="T346" s="1"/>
  <c r="T366"/>
  <c r="T367" s="1"/>
  <c r="K366"/>
  <c r="K367" s="1"/>
  <c r="K325"/>
  <c r="K345"/>
  <c r="K346" s="1"/>
  <c r="Z43"/>
  <c r="Z44"/>
  <c r="Z213" s="1"/>
  <c r="AC221"/>
  <c r="AC222" s="1"/>
  <c r="P229"/>
  <c r="P235" s="1"/>
  <c r="P228"/>
  <c r="P234" s="1"/>
  <c r="P230"/>
  <c r="P236" s="1"/>
  <c r="P124" i="44"/>
  <c r="P130" s="1"/>
  <c r="P135" s="1"/>
  <c r="P192" i="35"/>
  <c r="P198" s="1"/>
  <c r="P203" s="1"/>
  <c r="P129" i="46"/>
  <c r="P135" s="1"/>
  <c r="P140" s="1"/>
  <c r="P130" i="45"/>
  <c r="P136" s="1"/>
  <c r="P141" s="1"/>
  <c r="P131" i="47"/>
  <c r="P137" s="1"/>
  <c r="P142" s="1"/>
  <c r="O43" i="29"/>
  <c r="O44"/>
  <c r="O213" s="1"/>
  <c r="S120" i="24"/>
  <c r="W229" i="29"/>
  <c r="W235" s="1"/>
  <c r="W230"/>
  <c r="W236" s="1"/>
  <c r="W228"/>
  <c r="W234" s="1"/>
  <c r="W130" i="45"/>
  <c r="W136" s="1"/>
  <c r="W141" s="1"/>
  <c r="W124" i="44"/>
  <c r="W130" s="1"/>
  <c r="W135" s="1"/>
  <c r="W192" i="35"/>
  <c r="W198" s="1"/>
  <c r="W203" s="1"/>
  <c r="W129" i="46"/>
  <c r="W135" s="1"/>
  <c r="W140" s="1"/>
  <c r="W131" i="47"/>
  <c r="W137" s="1"/>
  <c r="W142" s="1"/>
  <c r="AB350" i="29"/>
  <c r="AB371"/>
  <c r="S121" i="24"/>
  <c r="W276" i="29"/>
  <c r="W280"/>
  <c r="W281" s="1"/>
  <c r="W210"/>
  <c r="W219" s="1"/>
  <c r="W330" s="1"/>
  <c r="W278"/>
  <c r="W279" s="1"/>
  <c r="W231"/>
  <c r="W237" s="1"/>
  <c r="AD257"/>
  <c r="I301"/>
  <c r="I122" i="24"/>
  <c r="M221" i="29"/>
  <c r="M222" s="1"/>
  <c r="K44"/>
  <c r="K213" s="1"/>
  <c r="K43"/>
  <c r="U70"/>
  <c r="U71" s="1"/>
  <c r="U77"/>
  <c r="U78" s="1"/>
  <c r="R221"/>
  <c r="R222" s="1"/>
  <c r="V70"/>
  <c r="V71" s="1"/>
  <c r="V77"/>
  <c r="V78" s="1"/>
  <c r="Q276"/>
  <c r="Q278"/>
  <c r="Q279" s="1"/>
  <c r="Q231"/>
  <c r="Q237" s="1"/>
  <c r="Q280"/>
  <c r="Q281" s="1"/>
  <c r="Q210"/>
  <c r="Q219" s="1"/>
  <c r="Q330" s="1"/>
  <c r="Y276"/>
  <c r="Y278"/>
  <c r="Y279" s="1"/>
  <c r="Y280"/>
  <c r="Y281" s="1"/>
  <c r="Y231"/>
  <c r="Y237" s="1"/>
  <c r="Y210"/>
  <c r="AA43"/>
  <c r="AA44"/>
  <c r="AA213" s="1"/>
  <c r="K77"/>
  <c r="K78" s="1"/>
  <c r="K70"/>
  <c r="K71" s="1"/>
  <c r="P206"/>
  <c r="P329" s="1"/>
  <c r="Q324"/>
  <c r="N324"/>
  <c r="S350" l="1"/>
  <c r="M239"/>
  <c r="S239"/>
  <c r="V239"/>
  <c r="V331" s="1"/>
  <c r="V352" s="1"/>
  <c r="L239"/>
  <c r="L331" s="1"/>
  <c r="AA239"/>
  <c r="AA331" s="1"/>
  <c r="AA352" s="1"/>
  <c r="N239"/>
  <c r="N331" s="1"/>
  <c r="Z239"/>
  <c r="Z331" s="1"/>
  <c r="AC239"/>
  <c r="AC331" s="1"/>
  <c r="Y239"/>
  <c r="Y331" s="1"/>
  <c r="R239"/>
  <c r="W239"/>
  <c r="W331" s="1"/>
  <c r="Q239"/>
  <c r="Q331" s="1"/>
  <c r="K239"/>
  <c r="K331" s="1"/>
  <c r="P239"/>
  <c r="P331" s="1"/>
  <c r="X239"/>
  <c r="X331" s="1"/>
  <c r="AB239"/>
  <c r="AB331" s="1"/>
  <c r="T239"/>
  <c r="T331" s="1"/>
  <c r="AD238"/>
  <c r="U371"/>
  <c r="M325"/>
  <c r="I84" i="24" s="1"/>
  <c r="I97" s="1"/>
  <c r="V345" i="29"/>
  <c r="V346" s="1"/>
  <c r="M345"/>
  <c r="M346" s="1"/>
  <c r="V325"/>
  <c r="R84" i="24" s="1"/>
  <c r="X366" i="29"/>
  <c r="X367" s="1"/>
  <c r="R325"/>
  <c r="N84" i="24" s="1"/>
  <c r="O331" i="29"/>
  <c r="AC219"/>
  <c r="AC330" s="1"/>
  <c r="AC351" s="1"/>
  <c r="Y219"/>
  <c r="Y330" s="1"/>
  <c r="Y351" s="1"/>
  <c r="M331"/>
  <c r="R219"/>
  <c r="R330" s="1"/>
  <c r="R351" s="1"/>
  <c r="M219"/>
  <c r="M330" s="1"/>
  <c r="M351" s="1"/>
  <c r="AD43"/>
  <c r="U331"/>
  <c r="U373" s="1"/>
  <c r="S331"/>
  <c r="S373" s="1"/>
  <c r="P371"/>
  <c r="P350"/>
  <c r="W182" i="44"/>
  <c r="W206"/>
  <c r="P84" i="24"/>
  <c r="Q366" i="29"/>
  <c r="Q367" s="1"/>
  <c r="Q325"/>
  <c r="Q345"/>
  <c r="Q346" s="1"/>
  <c r="U328"/>
  <c r="W351"/>
  <c r="W372"/>
  <c r="W273" i="35"/>
  <c r="W276" s="1"/>
  <c r="W250"/>
  <c r="P250"/>
  <c r="P273"/>
  <c r="P276" s="1"/>
  <c r="AD129" i="46"/>
  <c r="J135"/>
  <c r="J140" s="1"/>
  <c r="R277" i="29"/>
  <c r="M187" i="46"/>
  <c r="M209"/>
  <c r="X351" i="29"/>
  <c r="X372"/>
  <c r="AD44"/>
  <c r="J213"/>
  <c r="AD213" s="1"/>
  <c r="S188" i="47"/>
  <c r="S209"/>
  <c r="Q250" i="35"/>
  <c r="Q273"/>
  <c r="Q276" s="1"/>
  <c r="N325" i="29"/>
  <c r="N345"/>
  <c r="N346" s="1"/>
  <c r="N366"/>
  <c r="N367" s="1"/>
  <c r="K328"/>
  <c r="Y277"/>
  <c r="V299"/>
  <c r="V327"/>
  <c r="I334"/>
  <c r="I375"/>
  <c r="I354"/>
  <c r="W187" i="46"/>
  <c r="W209"/>
  <c r="P187"/>
  <c r="P209"/>
  <c r="AD131" i="47"/>
  <c r="J137"/>
  <c r="J142" s="1"/>
  <c r="J235" i="29"/>
  <c r="AD235" s="1"/>
  <c r="AD229"/>
  <c r="AD70"/>
  <c r="J71"/>
  <c r="P299"/>
  <c r="P327"/>
  <c r="M188" i="45"/>
  <c r="M213"/>
  <c r="M182" i="44"/>
  <c r="M206"/>
  <c r="K371" i="29"/>
  <c r="K350"/>
  <c r="T328"/>
  <c r="AB277"/>
  <c r="S187" i="46"/>
  <c r="S209"/>
  <c r="S299" i="29"/>
  <c r="S327"/>
  <c r="N188" i="47"/>
  <c r="N209"/>
  <c r="AC328" i="29"/>
  <c r="AB328"/>
  <c r="P277"/>
  <c r="AA350"/>
  <c r="AA371"/>
  <c r="O366"/>
  <c r="O367" s="1"/>
  <c r="O345"/>
  <c r="O346" s="1"/>
  <c r="O325"/>
  <c r="AA328"/>
  <c r="AA187" i="46"/>
  <c r="AA209"/>
  <c r="N299" i="29"/>
  <c r="N327"/>
  <c r="T277"/>
  <c r="K188" i="47"/>
  <c r="K209"/>
  <c r="K273" i="35"/>
  <c r="K276" s="1"/>
  <c r="K250"/>
  <c r="U250"/>
  <c r="U273"/>
  <c r="U276" s="1"/>
  <c r="AB188" i="45"/>
  <c r="AB213"/>
  <c r="AC250" i="35"/>
  <c r="AC273"/>
  <c r="AC276" s="1"/>
  <c r="M299" i="29"/>
  <c r="M327"/>
  <c r="Y250" i="35"/>
  <c r="Y273"/>
  <c r="Y276" s="1"/>
  <c r="AD280" i="29"/>
  <c r="J281"/>
  <c r="AD281" s="1"/>
  <c r="Z299"/>
  <c r="Z327"/>
  <c r="O188" i="47"/>
  <c r="O209"/>
  <c r="Z188"/>
  <c r="Z209"/>
  <c r="O84" i="24"/>
  <c r="T188" i="47"/>
  <c r="T209"/>
  <c r="L299" i="29"/>
  <c r="L327"/>
  <c r="S219"/>
  <c r="S330" s="1"/>
  <c r="P219"/>
  <c r="P330" s="1"/>
  <c r="T219"/>
  <c r="T330" s="1"/>
  <c r="L219"/>
  <c r="L330" s="1"/>
  <c r="U219"/>
  <c r="U330" s="1"/>
  <c r="R331"/>
  <c r="V328"/>
  <c r="I303"/>
  <c r="I308"/>
  <c r="S126" i="24"/>
  <c r="W277" i="29"/>
  <c r="W188" i="47"/>
  <c r="W209"/>
  <c r="W188" i="45"/>
  <c r="W213"/>
  <c r="P188"/>
  <c r="P213"/>
  <c r="AD124" i="44"/>
  <c r="J130"/>
  <c r="J135" s="1"/>
  <c r="AD192" i="35"/>
  <c r="J198"/>
  <c r="J203" s="1"/>
  <c r="AD77" i="29"/>
  <c r="J78"/>
  <c r="W328"/>
  <c r="M273" i="35"/>
  <c r="M276" s="1"/>
  <c r="M250"/>
  <c r="AD221" i="29"/>
  <c r="J222"/>
  <c r="AD222" s="1"/>
  <c r="T84" i="24"/>
  <c r="T299" i="29"/>
  <c r="T327"/>
  <c r="AB372"/>
  <c r="AB351"/>
  <c r="S250" i="35"/>
  <c r="S273"/>
  <c r="S276" s="1"/>
  <c r="Q188" i="45"/>
  <c r="Q213"/>
  <c r="V188" i="47"/>
  <c r="V209"/>
  <c r="V188" i="45"/>
  <c r="V213"/>
  <c r="S328" i="29"/>
  <c r="N188" i="45"/>
  <c r="N213"/>
  <c r="N187" i="46"/>
  <c r="N209"/>
  <c r="AC299" i="29"/>
  <c r="AC327"/>
  <c r="AB299"/>
  <c r="AB327"/>
  <c r="X250" i="35"/>
  <c r="X273"/>
  <c r="X276" s="1"/>
  <c r="X299" i="29"/>
  <c r="X327"/>
  <c r="U366"/>
  <c r="U367" s="1"/>
  <c r="U325"/>
  <c r="U345"/>
  <c r="U346" s="1"/>
  <c r="W371"/>
  <c r="W350"/>
  <c r="Y325"/>
  <c r="Y366"/>
  <c r="Y367" s="1"/>
  <c r="Y345"/>
  <c r="Y346" s="1"/>
  <c r="V350"/>
  <c r="V371"/>
  <c r="AA299"/>
  <c r="AA327"/>
  <c r="AA188" i="47"/>
  <c r="AA209"/>
  <c r="Y299" i="29"/>
  <c r="Y327"/>
  <c r="O328"/>
  <c r="Q328"/>
  <c r="R299"/>
  <c r="R327"/>
  <c r="U188" i="47"/>
  <c r="U209"/>
  <c r="L277" i="29"/>
  <c r="AC188" i="47"/>
  <c r="AC209"/>
  <c r="M328" i="29"/>
  <c r="U277"/>
  <c r="AD231"/>
  <c r="J237"/>
  <c r="AD237" s="1"/>
  <c r="O273" i="35"/>
  <c r="O276" s="1"/>
  <c r="O250"/>
  <c r="O188" i="45"/>
  <c r="O213"/>
  <c r="R188"/>
  <c r="R213"/>
  <c r="R250" i="35"/>
  <c r="R273"/>
  <c r="R276" s="1"/>
  <c r="T250"/>
  <c r="T273"/>
  <c r="T276" s="1"/>
  <c r="L328" i="29"/>
  <c r="Z219"/>
  <c r="Z330" s="1"/>
  <c r="K219"/>
  <c r="K330" s="1"/>
  <c r="N219"/>
  <c r="N330" s="1"/>
  <c r="AA219"/>
  <c r="AA330" s="1"/>
  <c r="I287"/>
  <c r="P188" i="47"/>
  <c r="P209"/>
  <c r="G84" i="24"/>
  <c r="AD230" i="29"/>
  <c r="J236"/>
  <c r="AD236" s="1"/>
  <c r="W299"/>
  <c r="W327"/>
  <c r="M188" i="47"/>
  <c r="M209"/>
  <c r="V84" i="24"/>
  <c r="Z277" i="29"/>
  <c r="S188" i="45"/>
  <c r="S213"/>
  <c r="L84" i="24"/>
  <c r="Q188" i="47"/>
  <c r="Q209"/>
  <c r="V187" i="46"/>
  <c r="V209"/>
  <c r="X213" i="45"/>
  <c r="X188"/>
  <c r="S277" i="29"/>
  <c r="X328"/>
  <c r="M371"/>
  <c r="M350"/>
  <c r="Q371"/>
  <c r="Q350"/>
  <c r="Z371"/>
  <c r="Z350"/>
  <c r="AA345"/>
  <c r="AA346" s="1"/>
  <c r="AA366"/>
  <c r="AA367" s="1"/>
  <c r="AA325"/>
  <c r="Y371"/>
  <c r="Y350"/>
  <c r="L366"/>
  <c r="L367" s="1"/>
  <c r="L325"/>
  <c r="L345"/>
  <c r="L346" s="1"/>
  <c r="Y328"/>
  <c r="K277"/>
  <c r="O299"/>
  <c r="O327"/>
  <c r="Q299"/>
  <c r="Q327"/>
  <c r="R328"/>
  <c r="K188" i="45"/>
  <c r="K213"/>
  <c r="L188" i="47"/>
  <c r="L209"/>
  <c r="L187" i="46"/>
  <c r="L209"/>
  <c r="U188" i="45"/>
  <c r="U213"/>
  <c r="U352" i="29"/>
  <c r="N277"/>
  <c r="AB188" i="47"/>
  <c r="AB209"/>
  <c r="AC187" i="46"/>
  <c r="AC209"/>
  <c r="S84" i="24"/>
  <c r="S97" s="1"/>
  <c r="Y188" i="47"/>
  <c r="Y209"/>
  <c r="AD210" i="29"/>
  <c r="O187" i="46"/>
  <c r="O209"/>
  <c r="R187"/>
  <c r="R209"/>
  <c r="Z250" i="35"/>
  <c r="Z273"/>
  <c r="Z276" s="1"/>
  <c r="Z188" i="45"/>
  <c r="Z213"/>
  <c r="O277" i="29"/>
  <c r="T188" i="45"/>
  <c r="T213"/>
  <c r="V219" i="29"/>
  <c r="V330" s="1"/>
  <c r="K299"/>
  <c r="K327"/>
  <c r="Q277"/>
  <c r="U299"/>
  <c r="U327"/>
  <c r="AD130" i="45"/>
  <c r="J136"/>
  <c r="J141" s="1"/>
  <c r="Q351" i="29"/>
  <c r="Q372"/>
  <c r="AD228"/>
  <c r="J234"/>
  <c r="P328"/>
  <c r="X277"/>
  <c r="X301" s="1"/>
  <c r="X308" s="1"/>
  <c r="M277"/>
  <c r="I126" i="24"/>
  <c r="Q187" i="46"/>
  <c r="Q209"/>
  <c r="V250" i="35"/>
  <c r="V273"/>
  <c r="V276" s="1"/>
  <c r="N250"/>
  <c r="N273"/>
  <c r="N276" s="1"/>
  <c r="AD206" i="29"/>
  <c r="J329"/>
  <c r="X187" i="46"/>
  <c r="X209"/>
  <c r="X188" i="47"/>
  <c r="X209"/>
  <c r="AC277" i="29"/>
  <c r="N371"/>
  <c r="N350"/>
  <c r="AA188" i="45"/>
  <c r="AA213"/>
  <c r="AA250" i="35"/>
  <c r="AA273"/>
  <c r="AA276" s="1"/>
  <c r="N328" i="29"/>
  <c r="K187" i="46"/>
  <c r="K209"/>
  <c r="L188" i="45"/>
  <c r="L213"/>
  <c r="L250" i="35"/>
  <c r="L273"/>
  <c r="L276" s="1"/>
  <c r="U187" i="46"/>
  <c r="U209"/>
  <c r="AB187"/>
  <c r="AB209"/>
  <c r="AB250" i="35"/>
  <c r="AB273"/>
  <c r="AB276" s="1"/>
  <c r="AC188" i="45"/>
  <c r="AC213"/>
  <c r="AD251" i="29"/>
  <c r="J324"/>
  <c r="AA277"/>
  <c r="Y187" i="46"/>
  <c r="Y209"/>
  <c r="Y213" i="45"/>
  <c r="Y188"/>
  <c r="AD276" i="29"/>
  <c r="J277"/>
  <c r="AD278"/>
  <c r="J279"/>
  <c r="AD279" s="1"/>
  <c r="Z328"/>
  <c r="O373"/>
  <c r="O352"/>
  <c r="R188" i="47"/>
  <c r="R209"/>
  <c r="Z187" i="46"/>
  <c r="Z209"/>
  <c r="X84" i="24"/>
  <c r="T187" i="46"/>
  <c r="T209"/>
  <c r="V277" i="29"/>
  <c r="O219"/>
  <c r="O330" s="1"/>
  <c r="S352" l="1"/>
  <c r="P373"/>
  <c r="P352"/>
  <c r="N373"/>
  <c r="N352"/>
  <c r="V373"/>
  <c r="R301"/>
  <c r="R308" s="1"/>
  <c r="AB373"/>
  <c r="AB352"/>
  <c r="AC372"/>
  <c r="M372"/>
  <c r="J239"/>
  <c r="AD239" s="1"/>
  <c r="Q301"/>
  <c r="Q308" s="1"/>
  <c r="Q316" s="1"/>
  <c r="J219"/>
  <c r="AA373"/>
  <c r="AB301"/>
  <c r="AB308" s="1"/>
  <c r="AB312" s="1"/>
  <c r="R372"/>
  <c r="Y372"/>
  <c r="N301"/>
  <c r="N308" s="1"/>
  <c r="N312" s="1"/>
  <c r="W301"/>
  <c r="W308" s="1"/>
  <c r="X93" i="24"/>
  <c r="AB278" i="35"/>
  <c r="AA278"/>
  <c r="AA279" s="1"/>
  <c r="W93" i="24"/>
  <c r="O278" i="35"/>
  <c r="O279" s="1"/>
  <c r="K93" i="24"/>
  <c r="X278" i="35"/>
  <c r="T93" i="24"/>
  <c r="Z278" i="35"/>
  <c r="Z279" s="1"/>
  <c r="V93" i="24"/>
  <c r="P93"/>
  <c r="T278" i="35"/>
  <c r="I93" i="24"/>
  <c r="M278" i="35"/>
  <c r="Y278"/>
  <c r="Y279" s="1"/>
  <c r="U93" i="24"/>
  <c r="Y93"/>
  <c r="AC278" i="35"/>
  <c r="U278"/>
  <c r="U279" s="1"/>
  <c r="Q93" i="24"/>
  <c r="R93"/>
  <c r="V278" i="35"/>
  <c r="V279" s="1"/>
  <c r="K278"/>
  <c r="K279" s="1"/>
  <c r="G93" i="24"/>
  <c r="L93"/>
  <c r="P278" i="35"/>
  <c r="H93" i="24"/>
  <c r="L278" i="35"/>
  <c r="L279" s="1"/>
  <c r="N278"/>
  <c r="J93" i="24"/>
  <c r="N93"/>
  <c r="R278" i="35"/>
  <c r="R279" s="1"/>
  <c r="S278"/>
  <c r="O93" i="24"/>
  <c r="M93"/>
  <c r="Q278" i="35"/>
  <c r="S93" i="24"/>
  <c r="W278" i="35"/>
  <c r="P301" i="29"/>
  <c r="P308" s="1"/>
  <c r="P312" s="1"/>
  <c r="Y301"/>
  <c r="Y308" s="1"/>
  <c r="Y316" s="1"/>
  <c r="O372"/>
  <c r="O351"/>
  <c r="L294" i="35"/>
  <c r="L297" s="1"/>
  <c r="L299" s="1"/>
  <c r="L315"/>
  <c r="L318" s="1"/>
  <c r="L320" s="1"/>
  <c r="K212" i="46"/>
  <c r="K251"/>
  <c r="K254" s="1"/>
  <c r="K256" s="1"/>
  <c r="K230"/>
  <c r="K233" s="1"/>
  <c r="K235" s="1"/>
  <c r="X251" i="47"/>
  <c r="X254" s="1"/>
  <c r="X256" s="1"/>
  <c r="X212"/>
  <c r="X230"/>
  <c r="X233" s="1"/>
  <c r="X235" s="1"/>
  <c r="V315" i="35"/>
  <c r="V318" s="1"/>
  <c r="V320" s="1"/>
  <c r="V294"/>
  <c r="V297" s="1"/>
  <c r="V299" s="1"/>
  <c r="Z251" i="46"/>
  <c r="Z254" s="1"/>
  <c r="Z256" s="1"/>
  <c r="Z212"/>
  <c r="Z230"/>
  <c r="Z233" s="1"/>
  <c r="Z235" s="1"/>
  <c r="U191"/>
  <c r="U189"/>
  <c r="AA190" i="45"/>
  <c r="AA192"/>
  <c r="AC287" i="29"/>
  <c r="Q189" i="46"/>
  <c r="Q191"/>
  <c r="P370" i="29"/>
  <c r="P349"/>
  <c r="T352"/>
  <c r="T373"/>
  <c r="R251" i="46"/>
  <c r="R254" s="1"/>
  <c r="R256" s="1"/>
  <c r="R212"/>
  <c r="R230"/>
  <c r="R233" s="1"/>
  <c r="R235" s="1"/>
  <c r="AC352" i="29"/>
  <c r="AC373"/>
  <c r="D324"/>
  <c r="D320" s="1"/>
  <c r="J345"/>
  <c r="J366"/>
  <c r="J325"/>
  <c r="U212" i="46"/>
  <c r="U230"/>
  <c r="U233" s="1"/>
  <c r="U235" s="1"/>
  <c r="U251"/>
  <c r="U254" s="1"/>
  <c r="U256" s="1"/>
  <c r="AA255" i="45"/>
  <c r="AA258" s="1"/>
  <c r="AA260" s="1"/>
  <c r="AA234"/>
  <c r="AA237" s="1"/>
  <c r="AA239" s="1"/>
  <c r="AA216"/>
  <c r="X212" i="46"/>
  <c r="X251"/>
  <c r="X254" s="1"/>
  <c r="X256" s="1"/>
  <c r="X230"/>
  <c r="X233" s="1"/>
  <c r="X235" s="1"/>
  <c r="V351" i="29"/>
  <c r="V372"/>
  <c r="Z252" i="35"/>
  <c r="Z254"/>
  <c r="Y192" i="47"/>
  <c r="Y190"/>
  <c r="AB190"/>
  <c r="AB192"/>
  <c r="K192" i="45"/>
  <c r="K190"/>
  <c r="O307" i="29"/>
  <c r="H84" i="24"/>
  <c r="W84"/>
  <c r="V189" i="46"/>
  <c r="V191"/>
  <c r="K352" i="29"/>
  <c r="K373"/>
  <c r="R252" i="35"/>
  <c r="R254"/>
  <c r="Y307" i="29"/>
  <c r="X369"/>
  <c r="X348"/>
  <c r="T369"/>
  <c r="T348"/>
  <c r="R251" i="47"/>
  <c r="R254" s="1"/>
  <c r="R256" s="1"/>
  <c r="R230"/>
  <c r="R233" s="1"/>
  <c r="R235" s="1"/>
  <c r="R212"/>
  <c r="AD277" i="29"/>
  <c r="Y216" i="45"/>
  <c r="Y255"/>
  <c r="Y258" s="1"/>
  <c r="Y260" s="1"/>
  <c r="Y234"/>
  <c r="Y237" s="1"/>
  <c r="Y239" s="1"/>
  <c r="AC190"/>
  <c r="AC192"/>
  <c r="AB191" i="46"/>
  <c r="AB189"/>
  <c r="L254" i="35"/>
  <c r="L252"/>
  <c r="K189" i="46"/>
  <c r="K191"/>
  <c r="AA252" i="35"/>
  <c r="AA254"/>
  <c r="X192" i="47"/>
  <c r="X190"/>
  <c r="V252" i="35"/>
  <c r="V254"/>
  <c r="M287" i="29"/>
  <c r="X334"/>
  <c r="X287"/>
  <c r="K307"/>
  <c r="Z294" i="35"/>
  <c r="Z297" s="1"/>
  <c r="Z299" s="1"/>
  <c r="Z315"/>
  <c r="Z318" s="1"/>
  <c r="Z320" s="1"/>
  <c r="O230" i="46"/>
  <c r="O233" s="1"/>
  <c r="O235" s="1"/>
  <c r="O212"/>
  <c r="O251"/>
  <c r="O254" s="1"/>
  <c r="O256" s="1"/>
  <c r="Y230" i="47"/>
  <c r="Y233" s="1"/>
  <c r="Y235" s="1"/>
  <c r="Y251"/>
  <c r="Y254" s="1"/>
  <c r="Y256" s="1"/>
  <c r="Y212"/>
  <c r="AC230" i="46"/>
  <c r="AC233" s="1"/>
  <c r="AC235" s="1"/>
  <c r="AC212"/>
  <c r="AC251"/>
  <c r="AC254" s="1"/>
  <c r="AC256" s="1"/>
  <c r="AB251" i="47"/>
  <c r="AB254" s="1"/>
  <c r="AB256" s="1"/>
  <c r="AB230"/>
  <c r="AB233" s="1"/>
  <c r="AB235" s="1"/>
  <c r="AB212"/>
  <c r="L212" i="46"/>
  <c r="L230"/>
  <c r="L233" s="1"/>
  <c r="L235" s="1"/>
  <c r="L251"/>
  <c r="L254" s="1"/>
  <c r="L256" s="1"/>
  <c r="K234" i="45"/>
  <c r="K237" s="1"/>
  <c r="K239" s="1"/>
  <c r="K216"/>
  <c r="K255"/>
  <c r="K258" s="1"/>
  <c r="K260" s="1"/>
  <c r="Q348" i="29"/>
  <c r="Q369"/>
  <c r="O348"/>
  <c r="O369"/>
  <c r="S334"/>
  <c r="S287"/>
  <c r="V212" i="46"/>
  <c r="V251"/>
  <c r="V254" s="1"/>
  <c r="V256" s="1"/>
  <c r="V230"/>
  <c r="V233" s="1"/>
  <c r="V235" s="1"/>
  <c r="I291" i="29"/>
  <c r="I289"/>
  <c r="Z352"/>
  <c r="Z373"/>
  <c r="L373"/>
  <c r="L352"/>
  <c r="R294" i="35"/>
  <c r="R297" s="1"/>
  <c r="R299" s="1"/>
  <c r="R315"/>
  <c r="R318" s="1"/>
  <c r="R320" s="1"/>
  <c r="O216" i="45"/>
  <c r="O234"/>
  <c r="O237" s="1"/>
  <c r="O239" s="1"/>
  <c r="O255"/>
  <c r="O258" s="1"/>
  <c r="O260" s="1"/>
  <c r="L287" i="29"/>
  <c r="L334"/>
  <c r="H85" i="24" s="1"/>
  <c r="Q370" i="29"/>
  <c r="Q349"/>
  <c r="Y369"/>
  <c r="Y348"/>
  <c r="X315" i="35"/>
  <c r="X318" s="1"/>
  <c r="X320" s="1"/>
  <c r="X294"/>
  <c r="X297" s="1"/>
  <c r="X299" s="1"/>
  <c r="AB307" i="29"/>
  <c r="N230" i="46"/>
  <c r="N233" s="1"/>
  <c r="N235" s="1"/>
  <c r="N212"/>
  <c r="N251"/>
  <c r="N254" s="1"/>
  <c r="N256" s="1"/>
  <c r="V230" i="47"/>
  <c r="V233" s="1"/>
  <c r="V235" s="1"/>
  <c r="V251"/>
  <c r="V254" s="1"/>
  <c r="V256" s="1"/>
  <c r="V212"/>
  <c r="S315" i="35"/>
  <c r="S318" s="1"/>
  <c r="S320" s="1"/>
  <c r="S294"/>
  <c r="S297" s="1"/>
  <c r="S299" s="1"/>
  <c r="M294"/>
  <c r="M297" s="1"/>
  <c r="M299" s="1"/>
  <c r="M315"/>
  <c r="M318" s="1"/>
  <c r="M320" s="1"/>
  <c r="P190" i="45"/>
  <c r="P192"/>
  <c r="W192" i="47"/>
  <c r="W190"/>
  <c r="R373" i="29"/>
  <c r="R352"/>
  <c r="P351"/>
  <c r="P372"/>
  <c r="O230" i="47"/>
  <c r="O233" s="1"/>
  <c r="O235" s="1"/>
  <c r="O212"/>
  <c r="O251"/>
  <c r="O254" s="1"/>
  <c r="O256" s="1"/>
  <c r="Z307" i="29"/>
  <c r="Y254" i="35"/>
  <c r="Y252"/>
  <c r="AC294"/>
  <c r="AC297" s="1"/>
  <c r="AC299" s="1"/>
  <c r="AC315"/>
  <c r="AC318" s="1"/>
  <c r="AC320" s="1"/>
  <c r="U294"/>
  <c r="U297" s="1"/>
  <c r="U299" s="1"/>
  <c r="U315"/>
  <c r="U318" s="1"/>
  <c r="U320" s="1"/>
  <c r="K230" i="47"/>
  <c r="K233" s="1"/>
  <c r="K235" s="1"/>
  <c r="K251"/>
  <c r="K254" s="1"/>
  <c r="K256" s="1"/>
  <c r="K212"/>
  <c r="AA189" i="46"/>
  <c r="AA191"/>
  <c r="P287" i="29"/>
  <c r="N251" i="47"/>
  <c r="N254" s="1"/>
  <c r="N256" s="1"/>
  <c r="N230"/>
  <c r="N233" s="1"/>
  <c r="N235" s="1"/>
  <c r="N212"/>
  <c r="S307" i="29"/>
  <c r="S189" i="46"/>
  <c r="S191"/>
  <c r="T370" i="29"/>
  <c r="T349"/>
  <c r="M184" i="44"/>
  <c r="M186"/>
  <c r="W212" i="46"/>
  <c r="W230"/>
  <c r="W233" s="1"/>
  <c r="W235" s="1"/>
  <c r="W251"/>
  <c r="W254" s="1"/>
  <c r="W256" s="1"/>
  <c r="E85" i="24"/>
  <c r="I336" i="29"/>
  <c r="V307"/>
  <c r="K349"/>
  <c r="K370"/>
  <c r="Q315" i="35"/>
  <c r="Q318" s="1"/>
  <c r="Q320" s="1"/>
  <c r="Q294"/>
  <c r="Q297" s="1"/>
  <c r="Q299" s="1"/>
  <c r="M251" i="46"/>
  <c r="M254" s="1"/>
  <c r="M256" s="1"/>
  <c r="M230"/>
  <c r="M233" s="1"/>
  <c r="M235" s="1"/>
  <c r="M212"/>
  <c r="AD135"/>
  <c r="W254" i="35"/>
  <c r="W252"/>
  <c r="W279"/>
  <c r="Z301" i="29"/>
  <c r="Z308" s="1"/>
  <c r="L301"/>
  <c r="L308" s="1"/>
  <c r="M301"/>
  <c r="M308" s="1"/>
  <c r="AA287"/>
  <c r="S301"/>
  <c r="S308" s="1"/>
  <c r="I304"/>
  <c r="U301"/>
  <c r="U308" s="1"/>
  <c r="AB230" i="46"/>
  <c r="AB233" s="1"/>
  <c r="AB235" s="1"/>
  <c r="AB212"/>
  <c r="AB251"/>
  <c r="AB254" s="1"/>
  <c r="AB256" s="1"/>
  <c r="AD234" i="29"/>
  <c r="AD136" i="45"/>
  <c r="U307" i="29"/>
  <c r="K348"/>
  <c r="K369"/>
  <c r="T190" i="45"/>
  <c r="T192"/>
  <c r="Z192"/>
  <c r="Z190"/>
  <c r="R189" i="46"/>
  <c r="R191"/>
  <c r="N287" i="29"/>
  <c r="U192" i="45"/>
  <c r="U190"/>
  <c r="L190" i="47"/>
  <c r="L192"/>
  <c r="R370" i="29"/>
  <c r="R349"/>
  <c r="X349"/>
  <c r="X370"/>
  <c r="X234" i="45"/>
  <c r="X237" s="1"/>
  <c r="X239" s="1"/>
  <c r="X255"/>
  <c r="X258" s="1"/>
  <c r="X260" s="1"/>
  <c r="X216"/>
  <c r="Q190" i="47"/>
  <c r="Q192"/>
  <c r="S190" i="45"/>
  <c r="S192"/>
  <c r="Z334" i="29"/>
  <c r="M192" i="47"/>
  <c r="M190"/>
  <c r="AA351" i="29"/>
  <c r="AA372"/>
  <c r="T279" i="35"/>
  <c r="T254"/>
  <c r="T252"/>
  <c r="R190" i="45"/>
  <c r="R192"/>
  <c r="O315" i="35"/>
  <c r="O318" s="1"/>
  <c r="O320" s="1"/>
  <c r="O294"/>
  <c r="O297" s="1"/>
  <c r="O299" s="1"/>
  <c r="AC192" i="47"/>
  <c r="AC190"/>
  <c r="U192"/>
  <c r="U190"/>
  <c r="AA192"/>
  <c r="AA190"/>
  <c r="U84" i="24"/>
  <c r="Q84"/>
  <c r="X307" i="29"/>
  <c r="X303"/>
  <c r="AB369"/>
  <c r="AB348"/>
  <c r="AC307"/>
  <c r="N192" i="45"/>
  <c r="N190"/>
  <c r="V192"/>
  <c r="V190"/>
  <c r="Q190"/>
  <c r="Q192"/>
  <c r="M254" i="35"/>
  <c r="M252"/>
  <c r="M279"/>
  <c r="AD78" i="29"/>
  <c r="J328"/>
  <c r="AD198" i="35"/>
  <c r="AD203"/>
  <c r="P255" i="45"/>
  <c r="P258" s="1"/>
  <c r="P260" s="1"/>
  <c r="P234"/>
  <c r="P237" s="1"/>
  <c r="P239" s="1"/>
  <c r="P216"/>
  <c r="W251" i="47"/>
  <c r="W254" s="1"/>
  <c r="W256" s="1"/>
  <c r="W212"/>
  <c r="W230"/>
  <c r="W233" s="1"/>
  <c r="W235" s="1"/>
  <c r="I312" i="29"/>
  <c r="I316"/>
  <c r="V370"/>
  <c r="V349"/>
  <c r="U372"/>
  <c r="U351"/>
  <c r="T372"/>
  <c r="T351"/>
  <c r="Q352"/>
  <c r="Q373"/>
  <c r="L348"/>
  <c r="L369"/>
  <c r="T192" i="47"/>
  <c r="T190"/>
  <c r="Z190"/>
  <c r="Z192"/>
  <c r="Z348" i="29"/>
  <c r="Z369"/>
  <c r="Y315" i="35"/>
  <c r="Y318" s="1"/>
  <c r="Y320" s="1"/>
  <c r="Y294"/>
  <c r="Y297" s="1"/>
  <c r="Y299" s="1"/>
  <c r="M307" i="29"/>
  <c r="AB190" i="45"/>
  <c r="AB192"/>
  <c r="K294" i="35"/>
  <c r="K297" s="1"/>
  <c r="K299" s="1"/>
  <c r="K315"/>
  <c r="K318" s="1"/>
  <c r="K320" s="1"/>
  <c r="AA230" i="46"/>
  <c r="AA233" s="1"/>
  <c r="AA235" s="1"/>
  <c r="AA251"/>
  <c r="AA254" s="1"/>
  <c r="AA256" s="1"/>
  <c r="AA212"/>
  <c r="K84" i="24"/>
  <c r="AC370" i="29"/>
  <c r="AC349"/>
  <c r="S348"/>
  <c r="S369"/>
  <c r="S251" i="46"/>
  <c r="S254" s="1"/>
  <c r="S256" s="1"/>
  <c r="S212"/>
  <c r="S230"/>
  <c r="S233" s="1"/>
  <c r="S235" s="1"/>
  <c r="M227" i="44"/>
  <c r="M230" s="1"/>
  <c r="M232" s="1"/>
  <c r="M209"/>
  <c r="M248"/>
  <c r="M251" s="1"/>
  <c r="M253" s="1"/>
  <c r="P348" i="29"/>
  <c r="P334"/>
  <c r="P369"/>
  <c r="P191" i="46"/>
  <c r="P189"/>
  <c r="I376" i="29"/>
  <c r="J84" i="24"/>
  <c r="S190" i="47"/>
  <c r="S192"/>
  <c r="R287" i="29"/>
  <c r="P252" i="35"/>
  <c r="P279"/>
  <c r="P254"/>
  <c r="M84" i="24"/>
  <c r="T301" i="29"/>
  <c r="T308" s="1"/>
  <c r="K301"/>
  <c r="K308" s="1"/>
  <c r="T189" i="46"/>
  <c r="T191"/>
  <c r="Y190" i="45"/>
  <c r="Y192"/>
  <c r="AC234"/>
  <c r="AC237" s="1"/>
  <c r="AC239" s="1"/>
  <c r="AC216"/>
  <c r="AC255"/>
  <c r="AC258" s="1"/>
  <c r="AC260" s="1"/>
  <c r="AA315" i="35"/>
  <c r="AA318" s="1"/>
  <c r="AA320" s="1"/>
  <c r="AA294"/>
  <c r="AA297" s="1"/>
  <c r="AA299" s="1"/>
  <c r="D329" i="29"/>
  <c r="J350"/>
  <c r="D350" s="1"/>
  <c r="C15" i="24" s="1"/>
  <c r="J371" i="29"/>
  <c r="D371" s="1"/>
  <c r="C36" i="24" s="1"/>
  <c r="T230" i="46"/>
  <c r="T233" s="1"/>
  <c r="T235" s="1"/>
  <c r="T251"/>
  <c r="T254" s="1"/>
  <c r="T256" s="1"/>
  <c r="T212"/>
  <c r="Y189"/>
  <c r="Y191"/>
  <c r="L190" i="45"/>
  <c r="L192"/>
  <c r="X189" i="46"/>
  <c r="X191"/>
  <c r="T255" i="45"/>
  <c r="T258" s="1"/>
  <c r="T260" s="1"/>
  <c r="T234"/>
  <c r="T237" s="1"/>
  <c r="T239" s="1"/>
  <c r="T216"/>
  <c r="AD219" i="29"/>
  <c r="J330"/>
  <c r="U216" i="45"/>
  <c r="U234"/>
  <c r="U237" s="1"/>
  <c r="U239" s="1"/>
  <c r="U255"/>
  <c r="U258" s="1"/>
  <c r="U260" s="1"/>
  <c r="L230" i="47"/>
  <c r="L233" s="1"/>
  <c r="L235" s="1"/>
  <c r="L251"/>
  <c r="L254" s="1"/>
  <c r="L256" s="1"/>
  <c r="L212"/>
  <c r="R316" i="29"/>
  <c r="R312"/>
  <c r="Q303"/>
  <c r="Q307"/>
  <c r="K334"/>
  <c r="K287"/>
  <c r="X312"/>
  <c r="X316"/>
  <c r="X190" i="45"/>
  <c r="X192"/>
  <c r="Q251" i="47"/>
  <c r="Q254" s="1"/>
  <c r="Q256" s="1"/>
  <c r="Q230"/>
  <c r="Q233" s="1"/>
  <c r="Q235" s="1"/>
  <c r="Q212"/>
  <c r="S216" i="45"/>
  <c r="S255"/>
  <c r="S258" s="1"/>
  <c r="S260" s="1"/>
  <c r="S234"/>
  <c r="S237" s="1"/>
  <c r="S239" s="1"/>
  <c r="M230" i="47"/>
  <c r="M233" s="1"/>
  <c r="M235" s="1"/>
  <c r="M251"/>
  <c r="M254" s="1"/>
  <c r="M256" s="1"/>
  <c r="M212"/>
  <c r="W303" i="29"/>
  <c r="W307"/>
  <c r="P192" i="47"/>
  <c r="P190"/>
  <c r="N351" i="29"/>
  <c r="N372"/>
  <c r="K372"/>
  <c r="K351"/>
  <c r="T315" i="35"/>
  <c r="T318" s="1"/>
  <c r="T320" s="1"/>
  <c r="T294"/>
  <c r="T297" s="1"/>
  <c r="T299" s="1"/>
  <c r="R255" i="45"/>
  <c r="R258" s="1"/>
  <c r="R260" s="1"/>
  <c r="R216"/>
  <c r="R234"/>
  <c r="R237" s="1"/>
  <c r="R239" s="1"/>
  <c r="O254" i="35"/>
  <c r="O252"/>
  <c r="U334" i="29"/>
  <c r="Q85" i="24" s="1"/>
  <c r="U287" i="29"/>
  <c r="AC230" i="47"/>
  <c r="AC233" s="1"/>
  <c r="AC235" s="1"/>
  <c r="AC251"/>
  <c r="AC254" s="1"/>
  <c r="AC256" s="1"/>
  <c r="AC212"/>
  <c r="U251"/>
  <c r="U254" s="1"/>
  <c r="U256" s="1"/>
  <c r="U230"/>
  <c r="U233" s="1"/>
  <c r="U235" s="1"/>
  <c r="U212"/>
  <c r="R303" i="29"/>
  <c r="R307"/>
  <c r="O349"/>
  <c r="O370"/>
  <c r="AA251" i="47"/>
  <c r="AA254" s="1"/>
  <c r="AA256" s="1"/>
  <c r="AA230"/>
  <c r="AA233" s="1"/>
  <c r="AA235" s="1"/>
  <c r="AA212"/>
  <c r="AA307" i="29"/>
  <c r="AC369"/>
  <c r="AC348"/>
  <c r="N216" i="45"/>
  <c r="N234"/>
  <c r="N237" s="1"/>
  <c r="N239" s="1"/>
  <c r="N255"/>
  <c r="N258" s="1"/>
  <c r="N260" s="1"/>
  <c r="V255"/>
  <c r="V258" s="1"/>
  <c r="V260" s="1"/>
  <c r="V234"/>
  <c r="V237" s="1"/>
  <c r="V239" s="1"/>
  <c r="V216"/>
  <c r="Q216"/>
  <c r="Q255"/>
  <c r="Q258" s="1"/>
  <c r="Q260" s="1"/>
  <c r="Q234"/>
  <c r="Q237" s="1"/>
  <c r="Q239" s="1"/>
  <c r="T307" i="29"/>
  <c r="W349"/>
  <c r="W370"/>
  <c r="W190" i="45"/>
  <c r="W192"/>
  <c r="Y373" i="29"/>
  <c r="Y352"/>
  <c r="X352"/>
  <c r="X373"/>
  <c r="W352"/>
  <c r="W373"/>
  <c r="T230" i="47"/>
  <c r="T233" s="1"/>
  <c r="T235" s="1"/>
  <c r="T251"/>
  <c r="T254" s="1"/>
  <c r="T256" s="1"/>
  <c r="T212"/>
  <c r="Z230"/>
  <c r="Z233" s="1"/>
  <c r="Z235" s="1"/>
  <c r="Z251"/>
  <c r="Z254" s="1"/>
  <c r="Z256" s="1"/>
  <c r="Z212"/>
  <c r="M369" i="29"/>
  <c r="M334"/>
  <c r="M348"/>
  <c r="AB255" i="45"/>
  <c r="AB258" s="1"/>
  <c r="AB260" s="1"/>
  <c r="AB234"/>
  <c r="AB237" s="1"/>
  <c r="AB239" s="1"/>
  <c r="AB216"/>
  <c r="K254" i="35"/>
  <c r="K252"/>
  <c r="T334" i="29"/>
  <c r="T287"/>
  <c r="N307"/>
  <c r="N303"/>
  <c r="AA370"/>
  <c r="AA349"/>
  <c r="M190" i="45"/>
  <c r="M192"/>
  <c r="AD71" i="29"/>
  <c r="J299"/>
  <c r="J327"/>
  <c r="AD137" i="47"/>
  <c r="P212" i="46"/>
  <c r="P251"/>
  <c r="P254" s="1"/>
  <c r="P256" s="1"/>
  <c r="P230"/>
  <c r="P233" s="1"/>
  <c r="P235" s="1"/>
  <c r="I355" i="29"/>
  <c r="V369"/>
  <c r="V348"/>
  <c r="S251" i="47"/>
  <c r="S254" s="1"/>
  <c r="S256" s="1"/>
  <c r="S230"/>
  <c r="S233" s="1"/>
  <c r="S235" s="1"/>
  <c r="S212"/>
  <c r="P294" i="35"/>
  <c r="P297" s="1"/>
  <c r="P299" s="1"/>
  <c r="P315"/>
  <c r="P318" s="1"/>
  <c r="P320" s="1"/>
  <c r="W186" i="44"/>
  <c r="W184"/>
  <c r="V301" i="29"/>
  <c r="V308" s="1"/>
  <c r="Z287"/>
  <c r="AC301"/>
  <c r="AC308" s="1"/>
  <c r="Z189" i="46"/>
  <c r="Z191"/>
  <c r="AB254" i="35"/>
  <c r="AB252"/>
  <c r="AB279"/>
  <c r="N349" i="29"/>
  <c r="N370"/>
  <c r="N252" i="35"/>
  <c r="N279"/>
  <c r="N254"/>
  <c r="U348" i="29"/>
  <c r="U369"/>
  <c r="Z255" i="45"/>
  <c r="Z258" s="1"/>
  <c r="Z260" s="1"/>
  <c r="Z234"/>
  <c r="Z237" s="1"/>
  <c r="Z239" s="1"/>
  <c r="Z216"/>
  <c r="M373" i="29"/>
  <c r="M352"/>
  <c r="V334"/>
  <c r="V287"/>
  <c r="R190" i="47"/>
  <c r="R192"/>
  <c r="Z370" i="29"/>
  <c r="Z349"/>
  <c r="Y251" i="46"/>
  <c r="Y254" s="1"/>
  <c r="Y256" s="1"/>
  <c r="Y230"/>
  <c r="Y233" s="1"/>
  <c r="Y235" s="1"/>
  <c r="Y212"/>
  <c r="AB294" i="35"/>
  <c r="AB297" s="1"/>
  <c r="AB299" s="1"/>
  <c r="AB315"/>
  <c r="AB318" s="1"/>
  <c r="AB320" s="1"/>
  <c r="L255" i="45"/>
  <c r="L258" s="1"/>
  <c r="L260" s="1"/>
  <c r="L216"/>
  <c r="L234"/>
  <c r="L237" s="1"/>
  <c r="L239" s="1"/>
  <c r="N315" i="35"/>
  <c r="N318" s="1"/>
  <c r="N320" s="1"/>
  <c r="N294"/>
  <c r="N297" s="1"/>
  <c r="N299" s="1"/>
  <c r="Q212" i="46"/>
  <c r="Q251"/>
  <c r="Q254" s="1"/>
  <c r="Q256" s="1"/>
  <c r="Q230"/>
  <c r="Q233" s="1"/>
  <c r="Q235" s="1"/>
  <c r="Q334" i="29"/>
  <c r="M85" i="24" s="1"/>
  <c r="Q287" i="29"/>
  <c r="O287"/>
  <c r="O334"/>
  <c r="O189" i="46"/>
  <c r="O191"/>
  <c r="AC189"/>
  <c r="AC191"/>
  <c r="L189"/>
  <c r="L191"/>
  <c r="Y370" i="29"/>
  <c r="Y349"/>
  <c r="W369"/>
  <c r="W348"/>
  <c r="P230" i="47"/>
  <c r="P233" s="1"/>
  <c r="P235" s="1"/>
  <c r="P251"/>
  <c r="P254" s="1"/>
  <c r="P256" s="1"/>
  <c r="P212"/>
  <c r="Z351" i="29"/>
  <c r="Z372"/>
  <c r="L370"/>
  <c r="L349"/>
  <c r="O192" i="45"/>
  <c r="O190"/>
  <c r="M349" i="29"/>
  <c r="M370"/>
  <c r="R369"/>
  <c r="R334"/>
  <c r="R348"/>
  <c r="AA334"/>
  <c r="W85" i="24" s="1"/>
  <c r="AA369" i="29"/>
  <c r="AA348"/>
  <c r="X252" i="35"/>
  <c r="X254"/>
  <c r="X279"/>
  <c r="N189" i="46"/>
  <c r="N191"/>
  <c r="S349" i="29"/>
  <c r="S370"/>
  <c r="V190" i="47"/>
  <c r="V192"/>
  <c r="S254" i="35"/>
  <c r="S279"/>
  <c r="S252"/>
  <c r="W316" i="29"/>
  <c r="W312"/>
  <c r="AD130" i="44"/>
  <c r="W255" i="45"/>
  <c r="W258" s="1"/>
  <c r="W260" s="1"/>
  <c r="W234"/>
  <c r="W237" s="1"/>
  <c r="W239" s="1"/>
  <c r="W216"/>
  <c r="W334" i="29"/>
  <c r="W287"/>
  <c r="L372"/>
  <c r="L351"/>
  <c r="S351"/>
  <c r="S372"/>
  <c r="L307"/>
  <c r="L303"/>
  <c r="O190" i="47"/>
  <c r="O192"/>
  <c r="AC279" i="35"/>
  <c r="AC254"/>
  <c r="AC252"/>
  <c r="U252"/>
  <c r="U254"/>
  <c r="K190" i="47"/>
  <c r="K192"/>
  <c r="N348" i="29"/>
  <c r="N369"/>
  <c r="N334"/>
  <c r="J85" i="24" s="1"/>
  <c r="AB349" i="29"/>
  <c r="AB370"/>
  <c r="N192" i="47"/>
  <c r="N190"/>
  <c r="AB334" i="29"/>
  <c r="AB287"/>
  <c r="M255" i="45"/>
  <c r="M258" s="1"/>
  <c r="M260" s="1"/>
  <c r="M234"/>
  <c r="M237" s="1"/>
  <c r="M239" s="1"/>
  <c r="M216"/>
  <c r="P307" i="29"/>
  <c r="P303"/>
  <c r="W191" i="46"/>
  <c r="W189"/>
  <c r="Y334" i="29"/>
  <c r="Y287"/>
  <c r="Q254" i="35"/>
  <c r="Q279"/>
  <c r="Q252"/>
  <c r="M191" i="46"/>
  <c r="M189"/>
  <c r="W294" i="35"/>
  <c r="W297" s="1"/>
  <c r="W299" s="1"/>
  <c r="W315"/>
  <c r="W318" s="1"/>
  <c r="W320" s="1"/>
  <c r="U370" i="29"/>
  <c r="U349"/>
  <c r="W248" i="44"/>
  <c r="W251" s="1"/>
  <c r="W253" s="1"/>
  <c r="W227"/>
  <c r="W230" s="1"/>
  <c r="W232" s="1"/>
  <c r="W209"/>
  <c r="O301" i="29"/>
  <c r="O308" s="1"/>
  <c r="AA301"/>
  <c r="AA308" s="1"/>
  <c r="J287" l="1"/>
  <c r="Y312"/>
  <c r="AB316"/>
  <c r="N316"/>
  <c r="P316"/>
  <c r="Q312"/>
  <c r="Y303"/>
  <c r="Y304" s="1"/>
  <c r="AB303"/>
  <c r="AB304" s="1"/>
  <c r="L304"/>
  <c r="AE308"/>
  <c r="BK308" s="1"/>
  <c r="AC334" s="1"/>
  <c r="Y85" i="24" s="1"/>
  <c r="R304" i="29"/>
  <c r="E293"/>
  <c r="U85" i="24"/>
  <c r="Y336" i="29"/>
  <c r="Y337" s="1"/>
  <c r="K85" i="24"/>
  <c r="O336" i="29"/>
  <c r="O337" s="1"/>
  <c r="P304"/>
  <c r="M303"/>
  <c r="M304" s="1"/>
  <c r="J301"/>
  <c r="J303" s="1"/>
  <c r="X304"/>
  <c r="E287"/>
  <c r="N336"/>
  <c r="N337" s="1"/>
  <c r="AD287"/>
  <c r="AD283"/>
  <c r="D333"/>
  <c r="N289"/>
  <c r="N291"/>
  <c r="J291"/>
  <c r="J289"/>
  <c r="O291"/>
  <c r="O289"/>
  <c r="V289"/>
  <c r="V291"/>
  <c r="T291"/>
  <c r="T289"/>
  <c r="AB289"/>
  <c r="AB291"/>
  <c r="L83" i="24"/>
  <c r="P214" i="47"/>
  <c r="P215" s="1"/>
  <c r="M89" i="24"/>
  <c r="Q214" i="46"/>
  <c r="Q215" s="1"/>
  <c r="L218" i="45"/>
  <c r="L219" s="1"/>
  <c r="H87" i="24"/>
  <c r="V375" i="29"/>
  <c r="V376" s="1"/>
  <c r="V378" s="1"/>
  <c r="V354"/>
  <c r="V355" s="1"/>
  <c r="V357" s="1"/>
  <c r="S214" i="47"/>
  <c r="S215" s="1"/>
  <c r="O83" i="24"/>
  <c r="Y291" i="29"/>
  <c r="Y289"/>
  <c r="W218" i="45"/>
  <c r="W219" s="1"/>
  <c r="S87" i="24"/>
  <c r="V87"/>
  <c r="Z218" i="45"/>
  <c r="Z219" s="1"/>
  <c r="Z291" i="29"/>
  <c r="Z289"/>
  <c r="AD299"/>
  <c r="J307"/>
  <c r="T311"/>
  <c r="T315"/>
  <c r="V218" i="45"/>
  <c r="V219" s="1"/>
  <c r="R87" i="24"/>
  <c r="U289" i="29"/>
  <c r="U291"/>
  <c r="K291"/>
  <c r="K289"/>
  <c r="AC218" i="45"/>
  <c r="AC219" s="1"/>
  <c r="Y87" i="24"/>
  <c r="R291" i="29"/>
  <c r="R289"/>
  <c r="O312"/>
  <c r="O316"/>
  <c r="W354"/>
  <c r="W355" s="1"/>
  <c r="W357" s="1"/>
  <c r="W375"/>
  <c r="W376" s="1"/>
  <c r="W378" s="1"/>
  <c r="N85" i="24"/>
  <c r="R336" i="29"/>
  <c r="R337" s="1"/>
  <c r="O354"/>
  <c r="O355" s="1"/>
  <c r="O357" s="1"/>
  <c r="O375"/>
  <c r="O376" s="1"/>
  <c r="O378" s="1"/>
  <c r="AC312"/>
  <c r="AC316"/>
  <c r="I357"/>
  <c r="L89" i="24"/>
  <c r="P214" i="46"/>
  <c r="P215" s="1"/>
  <c r="N315" i="29"/>
  <c r="N311"/>
  <c r="Z214" i="47"/>
  <c r="Z215" s="1"/>
  <c r="V83" i="24"/>
  <c r="M87"/>
  <c r="Q218" i="45"/>
  <c r="Q219" s="1"/>
  <c r="AA214" i="47"/>
  <c r="AA215" s="1"/>
  <c r="W83" i="24"/>
  <c r="O87"/>
  <c r="S218" i="45"/>
  <c r="S219" s="1"/>
  <c r="U218"/>
  <c r="U219" s="1"/>
  <c r="Q87" i="24"/>
  <c r="P89"/>
  <c r="T214" i="46"/>
  <c r="T215" s="1"/>
  <c r="K316" i="29"/>
  <c r="K312"/>
  <c r="L85" i="24"/>
  <c r="P336" i="29"/>
  <c r="P337" s="1"/>
  <c r="O85" i="24"/>
  <c r="S336" i="29"/>
  <c r="S337" s="1"/>
  <c r="W214" i="47"/>
  <c r="W215" s="1"/>
  <c r="S83" i="24"/>
  <c r="J349" i="29"/>
  <c r="D349" s="1"/>
  <c r="C14" i="24" s="1"/>
  <c r="D328" i="29"/>
  <c r="J370"/>
  <c r="D370" s="1"/>
  <c r="C35" i="24" s="1"/>
  <c r="Z375" i="29"/>
  <c r="Z376" s="1"/>
  <c r="Z378" s="1"/>
  <c r="Z354"/>
  <c r="Z355" s="1"/>
  <c r="Z357" s="1"/>
  <c r="G85" i="24"/>
  <c r="K336" i="29"/>
  <c r="K337" s="1"/>
  <c r="U311"/>
  <c r="U315"/>
  <c r="M312"/>
  <c r="M316"/>
  <c r="N214" i="47"/>
  <c r="N215" s="1"/>
  <c r="J83" i="24"/>
  <c r="O214" i="47"/>
  <c r="O215" s="1"/>
  <c r="K83" i="24"/>
  <c r="X83"/>
  <c r="AB214" i="47"/>
  <c r="AB215" s="1"/>
  <c r="Y89" i="24"/>
  <c r="AC214" i="46"/>
  <c r="AC215" s="1"/>
  <c r="X289" i="29"/>
  <c r="X291"/>
  <c r="T85" i="24"/>
  <c r="X336" i="29"/>
  <c r="X337" s="1"/>
  <c r="X214" i="46"/>
  <c r="X215" s="1"/>
  <c r="T89" i="24"/>
  <c r="J367" i="29"/>
  <c r="D366"/>
  <c r="T303"/>
  <c r="T304" s="1"/>
  <c r="Q304"/>
  <c r="Q336"/>
  <c r="Q337" s="1"/>
  <c r="AC303"/>
  <c r="AC304" s="1"/>
  <c r="V303"/>
  <c r="V304" s="1"/>
  <c r="AA336"/>
  <c r="AA337" s="1"/>
  <c r="O303"/>
  <c r="O304" s="1"/>
  <c r="P315"/>
  <c r="P311"/>
  <c r="AA312"/>
  <c r="AA316"/>
  <c r="I87" i="24"/>
  <c r="M218" i="45"/>
  <c r="M219" s="1"/>
  <c r="AB354" i="29"/>
  <c r="AB355" s="1"/>
  <c r="AB357" s="1"/>
  <c r="AB375"/>
  <c r="AB376" s="1"/>
  <c r="AB378" s="1"/>
  <c r="W289"/>
  <c r="W291"/>
  <c r="S85" i="24"/>
  <c r="W336" i="29"/>
  <c r="W337" s="1"/>
  <c r="Q354"/>
  <c r="Q355" s="1"/>
  <c r="Q357" s="1"/>
  <c r="Q375"/>
  <c r="Q376" s="1"/>
  <c r="Q378" s="1"/>
  <c r="S289"/>
  <c r="S291"/>
  <c r="R85" i="24"/>
  <c r="V336" i="29"/>
  <c r="V337" s="1"/>
  <c r="D327"/>
  <c r="J348"/>
  <c r="J369"/>
  <c r="T214" i="47"/>
  <c r="T215" s="1"/>
  <c r="P83" i="24"/>
  <c r="AA315" i="29"/>
  <c r="AA311"/>
  <c r="U214" i="47"/>
  <c r="U215" s="1"/>
  <c r="Q83" i="24"/>
  <c r="N87"/>
  <c r="R218" i="45"/>
  <c r="R219" s="1"/>
  <c r="M214" i="47"/>
  <c r="M215" s="1"/>
  <c r="I83" i="24"/>
  <c r="Q311" i="29"/>
  <c r="Q315"/>
  <c r="L214" i="47"/>
  <c r="L215" s="1"/>
  <c r="H83" i="24"/>
  <c r="T218" i="45"/>
  <c r="T219" s="1"/>
  <c r="P87" i="24"/>
  <c r="I378" i="29"/>
  <c r="I91" i="24"/>
  <c r="M211" i="44"/>
  <c r="M212" s="1"/>
  <c r="W89" i="24"/>
  <c r="AA214" i="46"/>
  <c r="AA215" s="1"/>
  <c r="V85" i="24"/>
  <c r="Z336" i="29"/>
  <c r="Z337" s="1"/>
  <c r="AC315"/>
  <c r="AC311"/>
  <c r="J331"/>
  <c r="J334" s="1"/>
  <c r="AA289"/>
  <c r="AA291"/>
  <c r="AD140" i="46"/>
  <c r="J187"/>
  <c r="J209"/>
  <c r="I337" i="29"/>
  <c r="S89" i="24"/>
  <c r="W214" i="46"/>
  <c r="W215" s="1"/>
  <c r="S311" i="29"/>
  <c r="S315"/>
  <c r="P354"/>
  <c r="P355" s="1"/>
  <c r="P357" s="1"/>
  <c r="P375"/>
  <c r="P376" s="1"/>
  <c r="P378" s="1"/>
  <c r="K214" i="47"/>
  <c r="K215" s="1"/>
  <c r="G83" i="24"/>
  <c r="V214" i="46"/>
  <c r="V215" s="1"/>
  <c r="R89" i="24"/>
  <c r="G87"/>
  <c r="K218" i="45"/>
  <c r="K219" s="1"/>
  <c r="H89" i="24"/>
  <c r="L214" i="46"/>
  <c r="L215" s="1"/>
  <c r="M354" i="29"/>
  <c r="M355" s="1"/>
  <c r="M357" s="1"/>
  <c r="M375"/>
  <c r="M376" s="1"/>
  <c r="M378" s="1"/>
  <c r="Y315"/>
  <c r="Y311"/>
  <c r="O315"/>
  <c r="O311"/>
  <c r="F84" i="24"/>
  <c r="AC354" i="29"/>
  <c r="AC375"/>
  <c r="N304"/>
  <c r="U303"/>
  <c r="U304" s="1"/>
  <c r="K303"/>
  <c r="K304" s="1"/>
  <c r="Y354"/>
  <c r="Y355" s="1"/>
  <c r="Y357" s="1"/>
  <c r="Y375"/>
  <c r="Y376" s="1"/>
  <c r="Y378" s="1"/>
  <c r="L315"/>
  <c r="L311"/>
  <c r="V316"/>
  <c r="V312"/>
  <c r="AD142" i="47"/>
  <c r="J188"/>
  <c r="J209"/>
  <c r="T375" i="29"/>
  <c r="T376" s="1"/>
  <c r="T378" s="1"/>
  <c r="T354"/>
  <c r="T355" s="1"/>
  <c r="T357" s="1"/>
  <c r="X87" i="24"/>
  <c r="AB218" i="45"/>
  <c r="AB219" s="1"/>
  <c r="I85" i="24"/>
  <c r="M336" i="29"/>
  <c r="M337" s="1"/>
  <c r="N218" i="45"/>
  <c r="N219" s="1"/>
  <c r="J87" i="24"/>
  <c r="AC214" i="47"/>
  <c r="AC215" s="1"/>
  <c r="Y83" i="24"/>
  <c r="U354" i="29"/>
  <c r="U355" s="1"/>
  <c r="U357" s="1"/>
  <c r="U375"/>
  <c r="U376" s="1"/>
  <c r="U378" s="1"/>
  <c r="K354"/>
  <c r="K355" s="1"/>
  <c r="K357" s="1"/>
  <c r="K375"/>
  <c r="K376" s="1"/>
  <c r="K378" s="1"/>
  <c r="T316"/>
  <c r="T312"/>
  <c r="R375"/>
  <c r="R376" s="1"/>
  <c r="R378" s="1"/>
  <c r="R354"/>
  <c r="R355" s="1"/>
  <c r="R357" s="1"/>
  <c r="O89" i="24"/>
  <c r="S214" i="46"/>
  <c r="S215" s="1"/>
  <c r="M311" i="29"/>
  <c r="M315"/>
  <c r="L87" i="24"/>
  <c r="P218" i="45"/>
  <c r="P219" s="1"/>
  <c r="X85" i="24"/>
  <c r="AB336" i="29"/>
  <c r="AB337" s="1"/>
  <c r="X89" i="24"/>
  <c r="AB214" i="46"/>
  <c r="AB215" s="1"/>
  <c r="P289" i="29"/>
  <c r="P291"/>
  <c r="L291"/>
  <c r="L289"/>
  <c r="Z311"/>
  <c r="Z315"/>
  <c r="R83" i="24"/>
  <c r="V214" i="47"/>
  <c r="V215" s="1"/>
  <c r="N214" i="46"/>
  <c r="N215" s="1"/>
  <c r="J89" i="24"/>
  <c r="U83"/>
  <c r="Y214" i="47"/>
  <c r="Y215" s="1"/>
  <c r="O214" i="46"/>
  <c r="O215" s="1"/>
  <c r="K89" i="24"/>
  <c r="K311" i="29"/>
  <c r="K315"/>
  <c r="M289"/>
  <c r="M291"/>
  <c r="AA354"/>
  <c r="AA355" s="1"/>
  <c r="AA357" s="1"/>
  <c r="AA375"/>
  <c r="AA376" s="1"/>
  <c r="AA378" s="1"/>
  <c r="J375"/>
  <c r="J354"/>
  <c r="U214" i="46"/>
  <c r="U215" s="1"/>
  <c r="Q89" i="24"/>
  <c r="N89"/>
  <c r="R214" i="46"/>
  <c r="R215" s="1"/>
  <c r="AC289" i="29"/>
  <c r="AC291"/>
  <c r="X214" i="47"/>
  <c r="X215" s="1"/>
  <c r="T83" i="24"/>
  <c r="K214" i="46"/>
  <c r="K215" s="1"/>
  <c r="G89" i="24"/>
  <c r="AA303" i="29"/>
  <c r="AA304" s="1"/>
  <c r="W304"/>
  <c r="U336"/>
  <c r="U337" s="1"/>
  <c r="S303"/>
  <c r="S304" s="1"/>
  <c r="L336"/>
  <c r="L337" s="1"/>
  <c r="Q289"/>
  <c r="Q291"/>
  <c r="Y214" i="46"/>
  <c r="Y215" s="1"/>
  <c r="U89" i="24"/>
  <c r="S91"/>
  <c r="W211" i="44"/>
  <c r="W212" s="1"/>
  <c r="R311" i="29"/>
  <c r="R315"/>
  <c r="W311"/>
  <c r="W315"/>
  <c r="Q214" i="47"/>
  <c r="Q215" s="1"/>
  <c r="M83" i="24"/>
  <c r="D330" i="29"/>
  <c r="J351"/>
  <c r="D351" s="1"/>
  <c r="C16" i="24" s="1"/>
  <c r="J372" i="29"/>
  <c r="D372" s="1"/>
  <c r="C37" i="24" s="1"/>
  <c r="J250" i="35"/>
  <c r="J273"/>
  <c r="X315" i="29"/>
  <c r="AE307"/>
  <c r="X311"/>
  <c r="T87" i="24"/>
  <c r="X218" i="45"/>
  <c r="X219" s="1"/>
  <c r="N375" i="29"/>
  <c r="N376" s="1"/>
  <c r="N378" s="1"/>
  <c r="N354"/>
  <c r="N355" s="1"/>
  <c r="N357" s="1"/>
  <c r="AD141" i="45"/>
  <c r="J188"/>
  <c r="J213"/>
  <c r="U316" i="29"/>
  <c r="U312"/>
  <c r="S312"/>
  <c r="S316"/>
  <c r="L316"/>
  <c r="L312"/>
  <c r="Z316"/>
  <c r="Z312"/>
  <c r="M214" i="46"/>
  <c r="M215" s="1"/>
  <c r="I89" i="24"/>
  <c r="V311" i="29"/>
  <c r="V315"/>
  <c r="AB311"/>
  <c r="AB315"/>
  <c r="L375"/>
  <c r="L376" s="1"/>
  <c r="L378" s="1"/>
  <c r="L354"/>
  <c r="L355" s="1"/>
  <c r="L357" s="1"/>
  <c r="K87" i="24"/>
  <c r="O218" i="45"/>
  <c r="O219" s="1"/>
  <c r="S375" i="29"/>
  <c r="S376" s="1"/>
  <c r="S378" s="1"/>
  <c r="S354"/>
  <c r="S355" s="1"/>
  <c r="S357" s="1"/>
  <c r="X375"/>
  <c r="X376" s="1"/>
  <c r="X378" s="1"/>
  <c r="X354"/>
  <c r="X355" s="1"/>
  <c r="X357" s="1"/>
  <c r="Y218" i="45"/>
  <c r="Y219" s="1"/>
  <c r="U87" i="24"/>
  <c r="R214" i="47"/>
  <c r="R215" s="1"/>
  <c r="N83" i="24"/>
  <c r="P85"/>
  <c r="T336" i="29"/>
  <c r="T337" s="1"/>
  <c r="W87" i="24"/>
  <c r="AA218" i="45"/>
  <c r="AA219" s="1"/>
  <c r="J346" i="29"/>
  <c r="D345"/>
  <c r="Z214" i="46"/>
  <c r="Z215" s="1"/>
  <c r="V89" i="24"/>
  <c r="Z303" i="29"/>
  <c r="Z304" s="1"/>
  <c r="D354" l="1"/>
  <c r="J304"/>
  <c r="AE312"/>
  <c r="BK312" s="1"/>
  <c r="AC355" s="1"/>
  <c r="AE316"/>
  <c r="BK316" s="1"/>
  <c r="AC376" s="1"/>
  <c r="AD291"/>
  <c r="AD250" i="35"/>
  <c r="E256"/>
  <c r="E250"/>
  <c r="D273"/>
  <c r="J276"/>
  <c r="AD289" i="29"/>
  <c r="E291"/>
  <c r="E289"/>
  <c r="F85" i="24"/>
  <c r="J336" i="29"/>
  <c r="D375"/>
  <c r="C40" i="24" s="1"/>
  <c r="C19"/>
  <c r="J308" i="29"/>
  <c r="AD301"/>
  <c r="C10" i="24"/>
  <c r="D341" i="29"/>
  <c r="C6" i="24" s="1"/>
  <c r="D209" i="47"/>
  <c r="D204" s="1"/>
  <c r="J251"/>
  <c r="J230"/>
  <c r="J212"/>
  <c r="E188" i="45"/>
  <c r="J190"/>
  <c r="E194"/>
  <c r="J192"/>
  <c r="AD188"/>
  <c r="D209" i="46"/>
  <c r="J212"/>
  <c r="J230"/>
  <c r="J251"/>
  <c r="D369" i="29"/>
  <c r="J216" i="45"/>
  <c r="D213"/>
  <c r="J255"/>
  <c r="J234"/>
  <c r="BK307" i="29"/>
  <c r="AC325" s="1"/>
  <c r="D337" s="1"/>
  <c r="AE311"/>
  <c r="BK311" s="1"/>
  <c r="AC346" s="1"/>
  <c r="AE315"/>
  <c r="BK315" s="1"/>
  <c r="AC367" s="1"/>
  <c r="J311"/>
  <c r="AD311" s="1"/>
  <c r="AD313" s="1"/>
  <c r="AD307"/>
  <c r="J315"/>
  <c r="AD315" s="1"/>
  <c r="AD317" s="1"/>
  <c r="J252" i="35"/>
  <c r="J254"/>
  <c r="E194" i="47"/>
  <c r="E188"/>
  <c r="AD188"/>
  <c r="J192"/>
  <c r="J190"/>
  <c r="S98" i="24"/>
  <c r="S99" s="1"/>
  <c r="E187" i="46"/>
  <c r="AD187"/>
  <c r="J191"/>
  <c r="J189"/>
  <c r="E193"/>
  <c r="D331" i="29"/>
  <c r="D326" s="1"/>
  <c r="J373"/>
  <c r="D373" s="1"/>
  <c r="C38" i="24" s="1"/>
  <c r="J352" i="29"/>
  <c r="D352" s="1"/>
  <c r="C17" i="24" s="1"/>
  <c r="D348" i="29"/>
  <c r="C31" i="24"/>
  <c r="D362" i="29"/>
  <c r="C27" i="24" s="1"/>
  <c r="I98"/>
  <c r="I99" s="1"/>
  <c r="J315" i="35"/>
  <c r="J294"/>
  <c r="AC378" i="29" l="1"/>
  <c r="D294" i="35"/>
  <c r="J297"/>
  <c r="J299" s="1"/>
  <c r="D299" s="1"/>
  <c r="G22" i="24" s="1"/>
  <c r="E254" i="35"/>
  <c r="AD254"/>
  <c r="F93" i="24"/>
  <c r="J278" i="35"/>
  <c r="E252"/>
  <c r="AD252"/>
  <c r="J318"/>
  <c r="J320" s="1"/>
  <c r="D320" s="1"/>
  <c r="G43" i="24" s="1"/>
  <c r="D315" i="35"/>
  <c r="D279"/>
  <c r="D268"/>
  <c r="AC357" i="29"/>
  <c r="J376"/>
  <c r="J378" s="1"/>
  <c r="J355"/>
  <c r="D358" s="1"/>
  <c r="C23" i="24" s="1"/>
  <c r="J337" i="29"/>
  <c r="AD346"/>
  <c r="AD308"/>
  <c r="J316"/>
  <c r="AD316" s="1"/>
  <c r="J312"/>
  <c r="AD312" s="1"/>
  <c r="D234" i="45"/>
  <c r="J237"/>
  <c r="J239" s="1"/>
  <c r="D239" s="1"/>
  <c r="D22" i="24" s="1"/>
  <c r="C34"/>
  <c r="D368" i="29"/>
  <c r="C33" i="24" s="1"/>
  <c r="F89"/>
  <c r="J214" i="46"/>
  <c r="J233" i="47"/>
  <c r="D230"/>
  <c r="D347" i="29"/>
  <c r="C12" i="24" s="1"/>
  <c r="C13"/>
  <c r="Y84"/>
  <c r="AC336" i="29"/>
  <c r="AC337" s="1"/>
  <c r="J233" i="46"/>
  <c r="J235" s="1"/>
  <c r="D235" s="1"/>
  <c r="E22" i="24" s="1"/>
  <c r="D230" i="46"/>
  <c r="AD192" i="45"/>
  <c r="E192"/>
  <c r="E191" i="46"/>
  <c r="AD191"/>
  <c r="S105" i="24"/>
  <c r="S102"/>
  <c r="E192" i="47"/>
  <c r="AD192"/>
  <c r="D208" i="45"/>
  <c r="D219"/>
  <c r="D251" i="46"/>
  <c r="J254"/>
  <c r="J256" s="1"/>
  <c r="D256" s="1"/>
  <c r="E43" i="24" s="1"/>
  <c r="I102"/>
  <c r="I105"/>
  <c r="F87"/>
  <c r="J218" i="45"/>
  <c r="D215" i="47"/>
  <c r="F83" i="24"/>
  <c r="J214" i="47"/>
  <c r="E189" i="46"/>
  <c r="AD189"/>
  <c r="AD190" i="47"/>
  <c r="E190"/>
  <c r="J258" i="45"/>
  <c r="J260" s="1"/>
  <c r="D260" s="1"/>
  <c r="D43" i="24" s="1"/>
  <c r="D255" i="45"/>
  <c r="D215" i="46"/>
  <c r="D204"/>
  <c r="E190" i="45"/>
  <c r="AD190"/>
  <c r="D251" i="47"/>
  <c r="J254"/>
  <c r="D378" i="29" l="1"/>
  <c r="C43" i="24" s="1"/>
  <c r="D379" i="29"/>
  <c r="C44" i="24" s="1"/>
  <c r="G17"/>
  <c r="D289" i="35"/>
  <c r="G12" i="24" s="1"/>
  <c r="D300" i="35"/>
  <c r="G23" i="24" s="1"/>
  <c r="G38"/>
  <c r="D310" i="35"/>
  <c r="G33" i="24" s="1"/>
  <c r="D321" i="35"/>
  <c r="G44" i="24" s="1"/>
  <c r="D319" i="35"/>
  <c r="G42" i="24" s="1"/>
  <c r="D278" i="35"/>
  <c r="D298"/>
  <c r="G21" i="24" s="1"/>
  <c r="J279" i="35"/>
  <c r="J357" i="29"/>
  <c r="D357" s="1"/>
  <c r="C22" i="24" s="1"/>
  <c r="AD355" i="29"/>
  <c r="D356"/>
  <c r="C21" i="24" s="1"/>
  <c r="D377" i="29"/>
  <c r="C42" i="24" s="1"/>
  <c r="D336" i="29"/>
  <c r="J256" i="47"/>
  <c r="D256" s="1"/>
  <c r="B43" i="24" s="1"/>
  <c r="J215" i="47"/>
  <c r="D214"/>
  <c r="D234"/>
  <c r="B21" i="24" s="1"/>
  <c r="D255" i="47"/>
  <c r="B42" i="24" s="1"/>
  <c r="D257" i="46"/>
  <c r="E44" i="24" s="1"/>
  <c r="D246" i="46"/>
  <c r="E33" i="24" s="1"/>
  <c r="E38"/>
  <c r="D240" i="45"/>
  <c r="D23" i="24" s="1"/>
  <c r="D17"/>
  <c r="D229" i="45"/>
  <c r="D12" i="24" s="1"/>
  <c r="J219" i="45"/>
  <c r="D218"/>
  <c r="D238"/>
  <c r="D21" i="24" s="1"/>
  <c r="D259" i="45"/>
  <c r="D42" i="24" s="1"/>
  <c r="D38"/>
  <c r="D250" i="45"/>
  <c r="D33" i="24" s="1"/>
  <c r="D261" i="45"/>
  <c r="D44" i="24" s="1"/>
  <c r="J235" i="47"/>
  <c r="D235" s="1"/>
  <c r="B22" i="24" s="1"/>
  <c r="E17"/>
  <c r="D236" i="46"/>
  <c r="E23" i="24" s="1"/>
  <c r="D225" i="46"/>
  <c r="E12" i="24" s="1"/>
  <c r="D234" i="46"/>
  <c r="E21" i="24" s="1"/>
  <c r="D214" i="46"/>
  <c r="D255"/>
  <c r="E42" i="24" s="1"/>
  <c r="J215" i="46"/>
  <c r="B38" i="24"/>
  <c r="D257" i="47"/>
  <c r="B44" i="24" s="1"/>
  <c r="D246" i="47"/>
  <c r="B33" i="24" s="1"/>
  <c r="D225" i="47"/>
  <c r="B12" i="24" s="1"/>
  <c r="D236" i="47"/>
  <c r="B23" i="24" s="1"/>
  <c r="B17"/>
  <c r="C57" i="40"/>
  <c r="C53"/>
  <c r="C52" s="1"/>
  <c r="W53"/>
  <c r="W48" s="1"/>
  <c r="W68" s="1"/>
  <c r="S53"/>
  <c r="F53"/>
  <c r="F48" s="1"/>
  <c r="F68" s="1"/>
  <c r="E53"/>
  <c r="E48" s="1"/>
  <c r="E68" s="1"/>
  <c r="M53"/>
  <c r="H53"/>
  <c r="Y53"/>
  <c r="Y47" s="1"/>
  <c r="Y60"/>
  <c r="U53"/>
  <c r="U48" s="1"/>
  <c r="U68" s="1"/>
  <c r="U69" s="1"/>
  <c r="U12" s="1"/>
  <c r="X16" i="44" s="1"/>
  <c r="X53" i="40"/>
  <c r="P53"/>
  <c r="N53"/>
  <c r="N48" s="1"/>
  <c r="N68" s="1"/>
  <c r="Q53"/>
  <c r="Q47" s="1"/>
  <c r="Q60" s="1"/>
  <c r="R53"/>
  <c r="R48" s="1"/>
  <c r="R68" s="1"/>
  <c r="L53"/>
  <c r="L48" s="1"/>
  <c r="L68" s="1"/>
  <c r="K53"/>
  <c r="K48" s="1"/>
  <c r="K68" s="1"/>
  <c r="V53"/>
  <c r="D53"/>
  <c r="D47" s="1"/>
  <c r="D60" s="1"/>
  <c r="I53"/>
  <c r="Z53"/>
  <c r="Z47" s="1"/>
  <c r="Z60" s="1"/>
  <c r="G53"/>
  <c r="O53"/>
  <c r="O48" s="1"/>
  <c r="O68" s="1"/>
  <c r="O70" s="1"/>
  <c r="O13" s="1"/>
  <c r="R17" i="44" s="1"/>
  <c r="R97" s="1"/>
  <c r="C48" i="40" l="1"/>
  <c r="C68" s="1"/>
  <c r="L50"/>
  <c r="E69"/>
  <c r="E12" s="1"/>
  <c r="H16" i="44" s="1"/>
  <c r="E70" i="40"/>
  <c r="E13" s="1"/>
  <c r="H17" i="44" s="1"/>
  <c r="H97" s="1"/>
  <c r="E11" i="40"/>
  <c r="H15" i="44" s="1"/>
  <c r="R100"/>
  <c r="R99"/>
  <c r="N11" i="40"/>
  <c r="Q15" i="44" s="1"/>
  <c r="N70" i="40"/>
  <c r="N13" s="1"/>
  <c r="Q17" i="44" s="1"/>
  <c r="Q97" s="1"/>
  <c r="N69" i="40"/>
  <c r="N12" s="1"/>
  <c r="Q16" i="44" s="1"/>
  <c r="F11" i="40"/>
  <c r="I15" i="44" s="1"/>
  <c r="F70" i="40"/>
  <c r="F13" s="1"/>
  <c r="I17" i="44" s="1"/>
  <c r="I97" s="1"/>
  <c r="F69" i="40"/>
  <c r="F12" s="1"/>
  <c r="I16" i="44" s="1"/>
  <c r="X68"/>
  <c r="V51" i="40"/>
  <c r="V49"/>
  <c r="V50"/>
  <c r="V52"/>
  <c r="V47"/>
  <c r="V60" s="1"/>
  <c r="V48"/>
  <c r="V68" s="1"/>
  <c r="R70"/>
  <c r="R13" s="1"/>
  <c r="U17" i="44" s="1"/>
  <c r="U97" s="1"/>
  <c r="R11" i="40"/>
  <c r="U15" i="44" s="1"/>
  <c r="R69" i="40"/>
  <c r="R12" s="1"/>
  <c r="U16" i="44" s="1"/>
  <c r="Y63" i="40"/>
  <c r="Y7" s="1"/>
  <c r="AB12" i="44" s="1"/>
  <c r="Y62" i="40"/>
  <c r="Y6" s="1"/>
  <c r="Y5"/>
  <c r="AB10" i="44" s="1"/>
  <c r="W11" i="40"/>
  <c r="Z15" i="44" s="1"/>
  <c r="W69" i="40"/>
  <c r="W12" s="1"/>
  <c r="Z16" i="44" s="1"/>
  <c r="W70" i="40"/>
  <c r="W13" s="1"/>
  <c r="Z17" i="44" s="1"/>
  <c r="Z97" s="1"/>
  <c r="D5" i="40"/>
  <c r="G10" i="44" s="1"/>
  <c r="D63" i="40"/>
  <c r="D7" s="1"/>
  <c r="G12" i="44" s="1"/>
  <c r="O11" i="40"/>
  <c r="R15" i="44" s="1"/>
  <c r="O69" i="40"/>
  <c r="O12" s="1"/>
  <c r="R16" i="44" s="1"/>
  <c r="G50" i="40"/>
  <c r="G49"/>
  <c r="G51"/>
  <c r="G52"/>
  <c r="G48"/>
  <c r="G68" s="1"/>
  <c r="G47"/>
  <c r="G60" s="1"/>
  <c r="I51"/>
  <c r="I49"/>
  <c r="I52"/>
  <c r="I50"/>
  <c r="I48"/>
  <c r="I68" s="1"/>
  <c r="I47"/>
  <c r="I60" s="1"/>
  <c r="Q5"/>
  <c r="T10" i="44" s="1"/>
  <c r="Q62" i="40"/>
  <c r="Q6" s="1"/>
  <c r="Q63"/>
  <c r="Q7" s="1"/>
  <c r="T12" i="44" s="1"/>
  <c r="P51" i="40"/>
  <c r="P52"/>
  <c r="P50"/>
  <c r="P49"/>
  <c r="P47"/>
  <c r="P60" s="1"/>
  <c r="P48"/>
  <c r="P68" s="1"/>
  <c r="U70"/>
  <c r="U13" s="1"/>
  <c r="X17" i="44" s="1"/>
  <c r="X97" s="1"/>
  <c r="U11" i="40"/>
  <c r="X15" i="44" s="1"/>
  <c r="M52" i="40"/>
  <c r="M51"/>
  <c r="M50"/>
  <c r="M49"/>
  <c r="M48"/>
  <c r="M68" s="1"/>
  <c r="M47"/>
  <c r="M60" s="1"/>
  <c r="Z63"/>
  <c r="Z7" s="1"/>
  <c r="AC12" i="44" s="1"/>
  <c r="Z5" i="40"/>
  <c r="AC10" i="44" s="1"/>
  <c r="Z62" i="40"/>
  <c r="Z6" s="1"/>
  <c r="K70"/>
  <c r="K13" s="1"/>
  <c r="N17" i="44" s="1"/>
  <c r="N97" s="1"/>
  <c r="K69" i="40"/>
  <c r="K12" s="1"/>
  <c r="N16" i="44" s="1"/>
  <c r="K11" i="40"/>
  <c r="N15" i="44" s="1"/>
  <c r="L69" i="40"/>
  <c r="L12" s="1"/>
  <c r="O16" i="44" s="1"/>
  <c r="L11" i="40"/>
  <c r="O15" i="44" s="1"/>
  <c r="L70" i="40"/>
  <c r="L13" s="1"/>
  <c r="O17" i="44" s="1"/>
  <c r="O97" s="1"/>
  <c r="X52" i="40"/>
  <c r="X49"/>
  <c r="X51"/>
  <c r="X50"/>
  <c r="X48"/>
  <c r="X68" s="1"/>
  <c r="X47"/>
  <c r="X60" s="1"/>
  <c r="D62"/>
  <c r="D6" s="1"/>
  <c r="Z50"/>
  <c r="Z49"/>
  <c r="Z52"/>
  <c r="Z51"/>
  <c r="K50"/>
  <c r="K51"/>
  <c r="K49"/>
  <c r="K52"/>
  <c r="R51"/>
  <c r="R52"/>
  <c r="R50"/>
  <c r="R49"/>
  <c r="Q51"/>
  <c r="Q49"/>
  <c r="Q52"/>
  <c r="Q50"/>
  <c r="U52"/>
  <c r="U50"/>
  <c r="U49"/>
  <c r="U51"/>
  <c r="L47"/>
  <c r="L60" s="1"/>
  <c r="N47"/>
  <c r="N60" s="1"/>
  <c r="F47"/>
  <c r="F60" s="1"/>
  <c r="R47"/>
  <c r="R60" s="1"/>
  <c r="U47"/>
  <c r="U60" s="1"/>
  <c r="W47"/>
  <c r="W60" s="1"/>
  <c r="Q48"/>
  <c r="Q68" s="1"/>
  <c r="K47"/>
  <c r="K60" s="1"/>
  <c r="H49"/>
  <c r="H52"/>
  <c r="H51"/>
  <c r="H50"/>
  <c r="E51"/>
  <c r="E50"/>
  <c r="E49"/>
  <c r="E52"/>
  <c r="S49"/>
  <c r="S52"/>
  <c r="S51"/>
  <c r="S50"/>
  <c r="S48"/>
  <c r="S68" s="1"/>
  <c r="O52"/>
  <c r="O50"/>
  <c r="O49"/>
  <c r="O51"/>
  <c r="D52"/>
  <c r="D51"/>
  <c r="D49"/>
  <c r="D50"/>
  <c r="L49"/>
  <c r="L51"/>
  <c r="L52"/>
  <c r="N51"/>
  <c r="N49"/>
  <c r="N50"/>
  <c r="N52"/>
  <c r="Y51"/>
  <c r="Y49"/>
  <c r="Y52"/>
  <c r="Y50"/>
  <c r="F49"/>
  <c r="F50"/>
  <c r="F52"/>
  <c r="F51"/>
  <c r="W52"/>
  <c r="W49"/>
  <c r="W51"/>
  <c r="W50"/>
  <c r="O47"/>
  <c r="O60" s="1"/>
  <c r="D48"/>
  <c r="D68" s="1"/>
  <c r="H47"/>
  <c r="H60" s="1"/>
  <c r="Y48"/>
  <c r="Y68" s="1"/>
  <c r="E47"/>
  <c r="E60" s="1"/>
  <c r="S47"/>
  <c r="S60" s="1"/>
  <c r="Z48"/>
  <c r="Z68" s="1"/>
  <c r="H48"/>
  <c r="H68" s="1"/>
  <c r="C51"/>
  <c r="C47"/>
  <c r="C60" s="1"/>
  <c r="C50"/>
  <c r="C49"/>
  <c r="X161" i="44" l="1"/>
  <c r="X162" s="1"/>
  <c r="Y70" i="40"/>
  <c r="Y13" s="1"/>
  <c r="AB17" i="44" s="1"/>
  <c r="AB97" s="1"/>
  <c r="Y11" i="40"/>
  <c r="AB15" i="44" s="1"/>
  <c r="Y69" i="40"/>
  <c r="Y12" s="1"/>
  <c r="AB16" i="44" s="1"/>
  <c r="R63" i="40"/>
  <c r="R7" s="1"/>
  <c r="U12" i="44" s="1"/>
  <c r="R5" i="40"/>
  <c r="U10" i="44" s="1"/>
  <c r="R62" i="40"/>
  <c r="R6" s="1"/>
  <c r="G11" i="44"/>
  <c r="M62" i="40"/>
  <c r="M6" s="1"/>
  <c r="M5"/>
  <c r="P10" i="44" s="1"/>
  <c r="M63" i="40"/>
  <c r="M7" s="1"/>
  <c r="P12" i="44" s="1"/>
  <c r="T39"/>
  <c r="Q100"/>
  <c r="Q99"/>
  <c r="S63" i="40"/>
  <c r="S7" s="1"/>
  <c r="V12" i="44" s="1"/>
  <c r="S5" i="40"/>
  <c r="V10" i="44" s="1"/>
  <c r="S62" i="40"/>
  <c r="S6" s="1"/>
  <c r="D70"/>
  <c r="D13" s="1"/>
  <c r="G17" i="44" s="1"/>
  <c r="D11" i="40"/>
  <c r="G15" i="44" s="1"/>
  <c r="D69" i="40"/>
  <c r="D12" s="1"/>
  <c r="G16" i="44" s="1"/>
  <c r="W63" i="40"/>
  <c r="W7" s="1"/>
  <c r="Z12" i="44" s="1"/>
  <c r="W5" i="40"/>
  <c r="Z10" i="44" s="1"/>
  <c r="W62" i="40"/>
  <c r="W6" s="1"/>
  <c r="N5"/>
  <c r="Q10" i="44" s="1"/>
  <c r="N62" i="40"/>
  <c r="N6" s="1"/>
  <c r="N63"/>
  <c r="N7" s="1"/>
  <c r="Q12" i="44" s="1"/>
  <c r="X69" i="40"/>
  <c r="X12" s="1"/>
  <c r="AA16" i="44" s="1"/>
  <c r="X11" i="40"/>
  <c r="AA15" i="44" s="1"/>
  <c r="X70" i="40"/>
  <c r="X13" s="1"/>
  <c r="AA17" i="44" s="1"/>
  <c r="AA97" s="1"/>
  <c r="N167"/>
  <c r="N168" s="1"/>
  <c r="N65"/>
  <c r="J113" i="24"/>
  <c r="B62" s="1"/>
  <c r="N165" i="44"/>
  <c r="N166" s="1"/>
  <c r="AC39"/>
  <c r="X65"/>
  <c r="T113" i="24"/>
  <c r="X167" i="44"/>
  <c r="X168" s="1"/>
  <c r="X165"/>
  <c r="X166" s="1"/>
  <c r="T91"/>
  <c r="I11" i="40"/>
  <c r="L15" i="44" s="1"/>
  <c r="I69" i="40"/>
  <c r="I12" s="1"/>
  <c r="L16" i="44" s="1"/>
  <c r="I70" i="40"/>
  <c r="I13" s="1"/>
  <c r="L17" i="44" s="1"/>
  <c r="L97" s="1"/>
  <c r="R65"/>
  <c r="R167"/>
  <c r="R168" s="1"/>
  <c r="N113" i="24"/>
  <c r="R165" i="44"/>
  <c r="R166" s="1"/>
  <c r="Z159"/>
  <c r="Z68"/>
  <c r="Z140"/>
  <c r="Z207" s="1"/>
  <c r="Z161"/>
  <c r="Z162" s="1"/>
  <c r="AB91"/>
  <c r="X116" i="24"/>
  <c r="V11" i="40"/>
  <c r="Y15" i="44" s="1"/>
  <c r="V69" i="40"/>
  <c r="V12" s="1"/>
  <c r="Y16" i="44" s="1"/>
  <c r="V70" i="40"/>
  <c r="V13" s="1"/>
  <c r="Y17" i="44" s="1"/>
  <c r="Y97" s="1"/>
  <c r="X84"/>
  <c r="X85" s="1"/>
  <c r="X77"/>
  <c r="X78" s="1"/>
  <c r="I65"/>
  <c r="I167"/>
  <c r="I168" s="1"/>
  <c r="I165"/>
  <c r="I166" s="1"/>
  <c r="E113" i="24"/>
  <c r="H159" i="44"/>
  <c r="H140"/>
  <c r="H207" s="1"/>
  <c r="H161"/>
  <c r="H162" s="1"/>
  <c r="H68"/>
  <c r="N99"/>
  <c r="N100"/>
  <c r="P11" i="40"/>
  <c r="S15" i="44" s="1"/>
  <c r="P70" i="40"/>
  <c r="P13" s="1"/>
  <c r="S17" i="44" s="1"/>
  <c r="S97" s="1"/>
  <c r="P69" i="40"/>
  <c r="P12" s="1"/>
  <c r="S16" i="44" s="1"/>
  <c r="Z70" i="40"/>
  <c r="Z13" s="1"/>
  <c r="AC17" i="44" s="1"/>
  <c r="AC97" s="1"/>
  <c r="Z11" i="40"/>
  <c r="AC15" i="44" s="1"/>
  <c r="Z69" i="40"/>
  <c r="Z12" s="1"/>
  <c r="AC16" i="44" s="1"/>
  <c r="H63" i="40"/>
  <c r="H7" s="1"/>
  <c r="K12" i="44" s="1"/>
  <c r="H62" i="40"/>
  <c r="H6" s="1"/>
  <c r="H5"/>
  <c r="K10" i="44" s="1"/>
  <c r="Q11" i="40"/>
  <c r="T15" i="44" s="1"/>
  <c r="Q70" i="40"/>
  <c r="Q13" s="1"/>
  <c r="T17" i="44" s="1"/>
  <c r="T97" s="1"/>
  <c r="Q69" i="40"/>
  <c r="Q12" s="1"/>
  <c r="T16" i="44" s="1"/>
  <c r="F63" i="40"/>
  <c r="F7" s="1"/>
  <c r="I12" i="44" s="1"/>
  <c r="F5" i="40"/>
  <c r="I10" i="44" s="1"/>
  <c r="F62" i="40"/>
  <c r="F6" s="1"/>
  <c r="X63"/>
  <c r="X7" s="1"/>
  <c r="AA12" i="44" s="1"/>
  <c r="X5" i="40"/>
  <c r="AA10" i="44" s="1"/>
  <c r="X62" i="40"/>
  <c r="X6" s="1"/>
  <c r="O159" i="44"/>
  <c r="O140"/>
  <c r="O207" s="1"/>
  <c r="O161"/>
  <c r="O162" s="1"/>
  <c r="O68"/>
  <c r="AC11"/>
  <c r="AC154" s="1"/>
  <c r="AC155" s="1"/>
  <c r="M11" i="40"/>
  <c r="P15" i="44" s="1"/>
  <c r="M70" i="40"/>
  <c r="M13" s="1"/>
  <c r="P17" i="44" s="1"/>
  <c r="P97" s="1"/>
  <c r="M69" i="40"/>
  <c r="M12" s="1"/>
  <c r="P16" i="44" s="1"/>
  <c r="P62" i="40"/>
  <c r="P6" s="1"/>
  <c r="P5"/>
  <c r="S10" i="44" s="1"/>
  <c r="P63" i="40"/>
  <c r="P7" s="1"/>
  <c r="S12" i="44" s="1"/>
  <c r="I63" i="40"/>
  <c r="I7" s="1"/>
  <c r="L12" i="44" s="1"/>
  <c r="I62" i="40"/>
  <c r="I6" s="1"/>
  <c r="I5"/>
  <c r="L10" i="44" s="1"/>
  <c r="R159"/>
  <c r="R161"/>
  <c r="R162" s="1"/>
  <c r="R140"/>
  <c r="R207" s="1"/>
  <c r="R68"/>
  <c r="Z99"/>
  <c r="Z100"/>
  <c r="Y21" i="40"/>
  <c r="AB11" i="44"/>
  <c r="X112" i="24" s="1"/>
  <c r="U100" i="44"/>
  <c r="U99"/>
  <c r="I99"/>
  <c r="I100"/>
  <c r="Q65"/>
  <c r="Q165"/>
  <c r="Q166" s="1"/>
  <c r="Q167"/>
  <c r="Q168" s="1"/>
  <c r="M113" i="24"/>
  <c r="H99" i="44"/>
  <c r="H100"/>
  <c r="X140"/>
  <c r="X207" s="1"/>
  <c r="H70" i="40"/>
  <c r="H13" s="1"/>
  <c r="K17" i="44" s="1"/>
  <c r="K97" s="1"/>
  <c r="H11" i="40"/>
  <c r="K15" i="44" s="1"/>
  <c r="H69" i="40"/>
  <c r="H12" s="1"/>
  <c r="K16" i="44" s="1"/>
  <c r="K5" i="40"/>
  <c r="N10" i="44" s="1"/>
  <c r="K62" i="40"/>
  <c r="K6" s="1"/>
  <c r="K63"/>
  <c r="K7" s="1"/>
  <c r="N12" i="44" s="1"/>
  <c r="K113" i="24"/>
  <c r="O165" i="44"/>
  <c r="O166" s="1"/>
  <c r="O65"/>
  <c r="O167"/>
  <c r="O168" s="1"/>
  <c r="G11" i="40"/>
  <c r="J15" i="44" s="1"/>
  <c r="G70" i="40"/>
  <c r="G13" s="1"/>
  <c r="J17" i="44" s="1"/>
  <c r="J97" s="1"/>
  <c r="G69" i="40"/>
  <c r="G12" s="1"/>
  <c r="J16" i="44" s="1"/>
  <c r="G152"/>
  <c r="C112" i="24"/>
  <c r="G154" i="44"/>
  <c r="G39"/>
  <c r="AB39"/>
  <c r="Q113" i="24"/>
  <c r="U65" i="44"/>
  <c r="U165"/>
  <c r="U166" s="1"/>
  <c r="U167"/>
  <c r="U168" s="1"/>
  <c r="I159"/>
  <c r="I161"/>
  <c r="I162" s="1"/>
  <c r="I68"/>
  <c r="I140"/>
  <c r="I207" s="1"/>
  <c r="D113" i="24"/>
  <c r="H167" i="44"/>
  <c r="H168" s="1"/>
  <c r="H65"/>
  <c r="H165"/>
  <c r="H166" s="1"/>
  <c r="E5" i="40"/>
  <c r="H10" i="44" s="1"/>
  <c r="E63" i="40"/>
  <c r="E7" s="1"/>
  <c r="H12" i="44" s="1"/>
  <c r="E62" i="40"/>
  <c r="E6" s="1"/>
  <c r="O5"/>
  <c r="R10" i="44" s="1"/>
  <c r="O62" i="40"/>
  <c r="O6" s="1"/>
  <c r="O63"/>
  <c r="O7" s="1"/>
  <c r="R12" i="44" s="1"/>
  <c r="S11" i="40"/>
  <c r="V15" i="44" s="1"/>
  <c r="S69" i="40"/>
  <c r="S12" s="1"/>
  <c r="V16" i="44" s="1"/>
  <c r="S70" i="40"/>
  <c r="S13" s="1"/>
  <c r="V17" i="44" s="1"/>
  <c r="V97" s="1"/>
  <c r="U5" i="40"/>
  <c r="X10" i="44" s="1"/>
  <c r="U63" i="40"/>
  <c r="U7" s="1"/>
  <c r="X12" i="44" s="1"/>
  <c r="U62" i="40"/>
  <c r="U6" s="1"/>
  <c r="L63"/>
  <c r="L7" s="1"/>
  <c r="O12" i="44" s="1"/>
  <c r="L62" i="40"/>
  <c r="L6" s="1"/>
  <c r="L5"/>
  <c r="O10" i="44" s="1"/>
  <c r="O99"/>
  <c r="O100"/>
  <c r="N159"/>
  <c r="N161"/>
  <c r="N162" s="1"/>
  <c r="N68"/>
  <c r="N140"/>
  <c r="N207" s="1"/>
  <c r="Y116" i="24"/>
  <c r="C65" s="1"/>
  <c r="AC91" i="44"/>
  <c r="X100"/>
  <c r="X99"/>
  <c r="Q20" i="40"/>
  <c r="T22" i="44" s="1"/>
  <c r="T11"/>
  <c r="Q21" i="40"/>
  <c r="G62"/>
  <c r="G6" s="1"/>
  <c r="G5"/>
  <c r="J10" i="44" s="1"/>
  <c r="G63" i="40"/>
  <c r="G7" s="1"/>
  <c r="J12" i="44" s="1"/>
  <c r="C116" i="24"/>
  <c r="G91" i="44"/>
  <c r="Z65"/>
  <c r="Z167"/>
  <c r="Z168" s="1"/>
  <c r="V113" i="24"/>
  <c r="Z165" i="44"/>
  <c r="Z166" s="1"/>
  <c r="U68"/>
  <c r="U140"/>
  <c r="U207" s="1"/>
  <c r="U159"/>
  <c r="U161"/>
  <c r="U162" s="1"/>
  <c r="V63" i="40"/>
  <c r="V7" s="1"/>
  <c r="Y12" i="44" s="1"/>
  <c r="V62" i="40"/>
  <c r="V6" s="1"/>
  <c r="V5"/>
  <c r="Y10" i="44" s="1"/>
  <c r="Q161"/>
  <c r="Q162" s="1"/>
  <c r="Q159"/>
  <c r="Q140"/>
  <c r="Q207" s="1"/>
  <c r="Q68"/>
  <c r="X159"/>
  <c r="Z21" i="40" l="1"/>
  <c r="AB154" i="44"/>
  <c r="AB155" s="1"/>
  <c r="Z20" i="40"/>
  <c r="AC22" i="44" s="1"/>
  <c r="AD12"/>
  <c r="Z18" i="40"/>
  <c r="Q249" i="44"/>
  <c r="Q228"/>
  <c r="N249"/>
  <c r="N228"/>
  <c r="V100"/>
  <c r="V99"/>
  <c r="O18" i="40"/>
  <c r="O20"/>
  <c r="R22" i="44" s="1"/>
  <c r="O21" i="40"/>
  <c r="R11" i="44"/>
  <c r="R152" s="1"/>
  <c r="R153" s="1"/>
  <c r="H39"/>
  <c r="Y22" i="40"/>
  <c r="AB24" i="44" s="1"/>
  <c r="AB23"/>
  <c r="R77"/>
  <c r="R78" s="1"/>
  <c r="R84"/>
  <c r="R85" s="1"/>
  <c r="S39"/>
  <c r="P65"/>
  <c r="L113" i="24"/>
  <c r="P167" i="44"/>
  <c r="P168" s="1"/>
  <c r="P165"/>
  <c r="P166" s="1"/>
  <c r="F20" i="40"/>
  <c r="I22" i="44" s="1"/>
  <c r="F21" i="40"/>
  <c r="I11" i="44"/>
  <c r="E112" i="24" s="1"/>
  <c r="F18" i="40"/>
  <c r="Q77" i="44"/>
  <c r="Q78" s="1"/>
  <c r="Q84"/>
  <c r="Q85" s="1"/>
  <c r="Y39"/>
  <c r="U160"/>
  <c r="Q125" i="24"/>
  <c r="T125"/>
  <c r="X160" i="44"/>
  <c r="J39"/>
  <c r="T116" i="24"/>
  <c r="X91" i="44"/>
  <c r="R113" i="24"/>
  <c r="V165" i="44"/>
  <c r="V166" s="1"/>
  <c r="V65"/>
  <c r="V167"/>
  <c r="V168" s="1"/>
  <c r="I84"/>
  <c r="I85" s="1"/>
  <c r="I77"/>
  <c r="I78" s="1"/>
  <c r="G155"/>
  <c r="J159"/>
  <c r="J161"/>
  <c r="J162" s="1"/>
  <c r="J68"/>
  <c r="J140"/>
  <c r="J207" s="1"/>
  <c r="K18" i="40"/>
  <c r="K20"/>
  <c r="N22" i="44" s="1"/>
  <c r="N11"/>
  <c r="K21" i="40"/>
  <c r="K100" i="44"/>
  <c r="K99"/>
  <c r="AB148"/>
  <c r="AB149" s="1"/>
  <c r="AB41"/>
  <c r="AB146"/>
  <c r="H116" i="24"/>
  <c r="L91" i="44"/>
  <c r="P159"/>
  <c r="P140"/>
  <c r="P207" s="1"/>
  <c r="P68"/>
  <c r="P161"/>
  <c r="P162" s="1"/>
  <c r="Y120" i="24"/>
  <c r="C69" s="1"/>
  <c r="AA39" i="44"/>
  <c r="E116" i="24"/>
  <c r="I91" i="44"/>
  <c r="K39"/>
  <c r="AC65"/>
  <c r="Y113" i="24"/>
  <c r="C62" s="1"/>
  <c r="AC165" i="44"/>
  <c r="AC166" s="1"/>
  <c r="AC167"/>
  <c r="AC168" s="1"/>
  <c r="S65"/>
  <c r="S167"/>
  <c r="S168" s="1"/>
  <c r="O113" i="24"/>
  <c r="S165" i="44"/>
  <c r="S166" s="1"/>
  <c r="Z77"/>
  <c r="Z78" s="1"/>
  <c r="Z84"/>
  <c r="Z85" s="1"/>
  <c r="H113" i="24"/>
  <c r="L167" i="44"/>
  <c r="L168" s="1"/>
  <c r="L65"/>
  <c r="L165"/>
  <c r="L166" s="1"/>
  <c r="W113" i="24"/>
  <c r="AA65" i="44"/>
  <c r="AA165"/>
  <c r="AA166" s="1"/>
  <c r="AA167"/>
  <c r="AA168" s="1"/>
  <c r="Q39"/>
  <c r="G161"/>
  <c r="G68"/>
  <c r="AD16"/>
  <c r="G140"/>
  <c r="G159"/>
  <c r="V39"/>
  <c r="L116" i="24"/>
  <c r="P91" i="44"/>
  <c r="U39"/>
  <c r="AB100"/>
  <c r="AB99"/>
  <c r="D20" i="40"/>
  <c r="G22" i="44" s="1"/>
  <c r="V21" i="40"/>
  <c r="V20"/>
  <c r="Y22" i="44" s="1"/>
  <c r="V18" i="40"/>
  <c r="Y11" i="44"/>
  <c r="Y152" s="1"/>
  <c r="Y153" s="1"/>
  <c r="T23"/>
  <c r="T125" s="1"/>
  <c r="T131" s="1"/>
  <c r="Q22" i="40"/>
  <c r="T24" i="44" s="1"/>
  <c r="O91"/>
  <c r="K116" i="24"/>
  <c r="T100" i="44"/>
  <c r="T99"/>
  <c r="G94"/>
  <c r="G93"/>
  <c r="AC94"/>
  <c r="AC93"/>
  <c r="O39"/>
  <c r="E18" i="40"/>
  <c r="E21"/>
  <c r="E20"/>
  <c r="H22" i="44" s="1"/>
  <c r="H11"/>
  <c r="H152" s="1"/>
  <c r="Q160"/>
  <c r="M125" i="24"/>
  <c r="Y91" i="44"/>
  <c r="U116" i="24"/>
  <c r="U77" i="44"/>
  <c r="U78" s="1"/>
  <c r="U84"/>
  <c r="U85" s="1"/>
  <c r="F116" i="24"/>
  <c r="J91" i="44"/>
  <c r="T148"/>
  <c r="T149" s="1"/>
  <c r="T146"/>
  <c r="T41"/>
  <c r="N77"/>
  <c r="N78" s="1"/>
  <c r="N84"/>
  <c r="N85" s="1"/>
  <c r="U21" i="40"/>
  <c r="X11" i="44"/>
  <c r="X152" s="1"/>
  <c r="X153" s="1"/>
  <c r="U20" i="40"/>
  <c r="X22" i="44" s="1"/>
  <c r="U18" i="40"/>
  <c r="V159" i="44"/>
  <c r="V140"/>
  <c r="V207" s="1"/>
  <c r="V68"/>
  <c r="V161"/>
  <c r="V162" s="1"/>
  <c r="N112" i="24"/>
  <c r="R154" i="44"/>
  <c r="R155" s="1"/>
  <c r="R39"/>
  <c r="I249"/>
  <c r="I228"/>
  <c r="J116" i="24"/>
  <c r="B65" s="1"/>
  <c r="N91" i="44"/>
  <c r="K65"/>
  <c r="G113" i="24"/>
  <c r="K167" i="44"/>
  <c r="K168" s="1"/>
  <c r="K165"/>
  <c r="K166" s="1"/>
  <c r="R249"/>
  <c r="R228"/>
  <c r="L11"/>
  <c r="L154" s="1"/>
  <c r="L155" s="1"/>
  <c r="I20" i="40"/>
  <c r="L22" i="44" s="1"/>
  <c r="I18" i="40"/>
  <c r="I21"/>
  <c r="P20"/>
  <c r="S22" i="44" s="1"/>
  <c r="P21" i="40"/>
  <c r="P18"/>
  <c r="S11" i="44"/>
  <c r="AC148"/>
  <c r="AC149" s="1"/>
  <c r="AC146"/>
  <c r="AC41"/>
  <c r="O77"/>
  <c r="O78" s="1"/>
  <c r="O84"/>
  <c r="O85" s="1"/>
  <c r="X18" i="40"/>
  <c r="AA11" i="44"/>
  <c r="AA152" s="1"/>
  <c r="AA153" s="1"/>
  <c r="X20" i="40"/>
  <c r="AA22" i="44" s="1"/>
  <c r="X21" i="40"/>
  <c r="I39" i="44"/>
  <c r="I152"/>
  <c r="I153" s="1"/>
  <c r="I154"/>
  <c r="I155" s="1"/>
  <c r="T65"/>
  <c r="P113" i="24"/>
  <c r="T167" i="44"/>
  <c r="T168" s="1"/>
  <c r="T165"/>
  <c r="T166" s="1"/>
  <c r="AC159"/>
  <c r="AC140"/>
  <c r="AC207" s="1"/>
  <c r="AC68"/>
  <c r="AC161"/>
  <c r="AC162" s="1"/>
  <c r="S100"/>
  <c r="S99"/>
  <c r="H84"/>
  <c r="H85" s="1"/>
  <c r="H77"/>
  <c r="H78" s="1"/>
  <c r="Y167"/>
  <c r="Y168" s="1"/>
  <c r="U113" i="24"/>
  <c r="Y65" i="44"/>
  <c r="Y165"/>
  <c r="Y166" s="1"/>
  <c r="Z228"/>
  <c r="Z249"/>
  <c r="L140"/>
  <c r="L207" s="1"/>
  <c r="L161"/>
  <c r="L162" s="1"/>
  <c r="L68"/>
  <c r="L159"/>
  <c r="AA99"/>
  <c r="AA100"/>
  <c r="N18" i="40"/>
  <c r="N20"/>
  <c r="Q22" i="44" s="1"/>
  <c r="N21" i="40"/>
  <c r="Q11" i="44"/>
  <c r="M112" i="24" s="1"/>
  <c r="V116"/>
  <c r="Z91" i="44"/>
  <c r="S20" i="40"/>
  <c r="V22" i="44" s="1"/>
  <c r="S18" i="40"/>
  <c r="S21"/>
  <c r="V11" i="44"/>
  <c r="R18" i="40"/>
  <c r="U11" i="44"/>
  <c r="U154" s="1"/>
  <c r="U155" s="1"/>
  <c r="R21" i="40"/>
  <c r="R20"/>
  <c r="U22" i="44" s="1"/>
  <c r="AB65"/>
  <c r="X113" i="24"/>
  <c r="AB167" i="44"/>
  <c r="AB168" s="1"/>
  <c r="AB165"/>
  <c r="AB166" s="1"/>
  <c r="Q18" i="40"/>
  <c r="AB152" i="44"/>
  <c r="AB153" s="1"/>
  <c r="AD10"/>
  <c r="Y18" i="40"/>
  <c r="AC152" i="44"/>
  <c r="AC153" s="1"/>
  <c r="P112" i="24"/>
  <c r="D21" i="40"/>
  <c r="E125" i="24"/>
  <c r="I160" i="44"/>
  <c r="G153"/>
  <c r="K159"/>
  <c r="K140"/>
  <c r="K207" s="1"/>
  <c r="K68"/>
  <c r="K161"/>
  <c r="K162" s="1"/>
  <c r="L39"/>
  <c r="Z19" i="40"/>
  <c r="AC21" i="44" s="1"/>
  <c r="Y119" i="24" s="1"/>
  <c r="C68" s="1"/>
  <c r="AC20" i="44"/>
  <c r="Y118" i="24" s="1"/>
  <c r="C67" s="1"/>
  <c r="K125"/>
  <c r="O160" i="44"/>
  <c r="S140"/>
  <c r="S207" s="1"/>
  <c r="S68"/>
  <c r="S161"/>
  <c r="S162" s="1"/>
  <c r="S159"/>
  <c r="H160"/>
  <c r="D125" i="24"/>
  <c r="Y140" i="44"/>
  <c r="Y207" s="1"/>
  <c r="Y159"/>
  <c r="Y68"/>
  <c r="Y161"/>
  <c r="Y162" s="1"/>
  <c r="L99"/>
  <c r="L100"/>
  <c r="M116" i="24"/>
  <c r="Q91" i="44"/>
  <c r="Z39"/>
  <c r="AD17"/>
  <c r="G97"/>
  <c r="M18" i="40"/>
  <c r="M21"/>
  <c r="M20"/>
  <c r="P22" i="44" s="1"/>
  <c r="P11"/>
  <c r="P154" s="1"/>
  <c r="P155" s="1"/>
  <c r="AB140"/>
  <c r="AB207" s="1"/>
  <c r="AB159"/>
  <c r="AB161"/>
  <c r="AB162" s="1"/>
  <c r="AB68"/>
  <c r="P116" i="24"/>
  <c r="T154" i="44"/>
  <c r="T155" s="1"/>
  <c r="D18" i="40"/>
  <c r="U228" i="44"/>
  <c r="U249"/>
  <c r="F113" i="24"/>
  <c r="J165" i="44"/>
  <c r="J166" s="1"/>
  <c r="J65"/>
  <c r="J167"/>
  <c r="J168" s="1"/>
  <c r="G116" i="24"/>
  <c r="K91" i="44"/>
  <c r="G21" i="40"/>
  <c r="G20"/>
  <c r="J22" i="44" s="1"/>
  <c r="G18" i="40"/>
  <c r="J11" i="44"/>
  <c r="T126"/>
  <c r="T132" s="1"/>
  <c r="P120" i="24"/>
  <c r="N160" i="44"/>
  <c r="J125" i="24"/>
  <c r="L21" i="40"/>
  <c r="L20"/>
  <c r="O22" i="44" s="1"/>
  <c r="L18" i="40"/>
  <c r="O11" i="44"/>
  <c r="K112" i="24" s="1"/>
  <c r="T112"/>
  <c r="X39" i="44"/>
  <c r="X154"/>
  <c r="X155" s="1"/>
  <c r="N116" i="24"/>
  <c r="R91" i="44"/>
  <c r="D116" i="24"/>
  <c r="H91" i="44"/>
  <c r="J100"/>
  <c r="J99"/>
  <c r="N154"/>
  <c r="N155" s="1"/>
  <c r="J112" i="24"/>
  <c r="B61" s="1"/>
  <c r="N152" i="44"/>
  <c r="N153" s="1"/>
  <c r="N39"/>
  <c r="X249"/>
  <c r="X228"/>
  <c r="R160"/>
  <c r="N125" i="24"/>
  <c r="O116"/>
  <c r="S91" i="44"/>
  <c r="P99"/>
  <c r="P100"/>
  <c r="Z22" i="40"/>
  <c r="AC24" i="44" s="1"/>
  <c r="AC23"/>
  <c r="O249"/>
  <c r="O228"/>
  <c r="W116" i="24"/>
  <c r="AA91" i="44"/>
  <c r="T68"/>
  <c r="T161"/>
  <c r="T162" s="1"/>
  <c r="T159"/>
  <c r="T140"/>
  <c r="T207" s="1"/>
  <c r="K11"/>
  <c r="H18" i="40"/>
  <c r="H20"/>
  <c r="K22" i="44" s="1"/>
  <c r="H21" i="40"/>
  <c r="AC99" i="44"/>
  <c r="AC100"/>
  <c r="H249"/>
  <c r="H228"/>
  <c r="Y99"/>
  <c r="Y100"/>
  <c r="AB94"/>
  <c r="AB93"/>
  <c r="Z160"/>
  <c r="V125" i="24"/>
  <c r="T94" i="44"/>
  <c r="T93"/>
  <c r="AA161"/>
  <c r="AA162" s="1"/>
  <c r="AA159"/>
  <c r="AA68"/>
  <c r="AA140"/>
  <c r="AA207" s="1"/>
  <c r="W18" i="40"/>
  <c r="W20"/>
  <c r="Z22" i="44" s="1"/>
  <c r="W21" i="40"/>
  <c r="Z11" i="44"/>
  <c r="AD15"/>
  <c r="C113" i="24"/>
  <c r="G165" i="44"/>
  <c r="G167"/>
  <c r="G65"/>
  <c r="AD65" s="1"/>
  <c r="V91"/>
  <c r="R116" i="24"/>
  <c r="L112"/>
  <c r="P39" i="44"/>
  <c r="G148"/>
  <c r="G41"/>
  <c r="G146"/>
  <c r="Q116" i="24"/>
  <c r="U91" i="44"/>
  <c r="Y20" i="40"/>
  <c r="AB22" i="44" s="1"/>
  <c r="Y112" i="24"/>
  <c r="C61" s="1"/>
  <c r="T152" i="44"/>
  <c r="T153" s="1"/>
  <c r="D62" i="24" l="1"/>
  <c r="H112"/>
  <c r="P152" i="44"/>
  <c r="P153" s="1"/>
  <c r="D65" i="24"/>
  <c r="L152" i="44"/>
  <c r="L153" s="1"/>
  <c r="O152"/>
  <c r="O153" s="1"/>
  <c r="AD39"/>
  <c r="H153"/>
  <c r="AD165"/>
  <c r="G166"/>
  <c r="AD167"/>
  <c r="G168"/>
  <c r="AD168" s="1"/>
  <c r="Z148"/>
  <c r="Z149" s="1"/>
  <c r="Z41"/>
  <c r="Z146"/>
  <c r="T228"/>
  <c r="T249"/>
  <c r="AC175"/>
  <c r="AC176" s="1"/>
  <c r="Y121" i="24"/>
  <c r="C70" s="1"/>
  <c r="AC106" i="44"/>
  <c r="AC115" s="1"/>
  <c r="AC205" s="1"/>
  <c r="AC171"/>
  <c r="AC173"/>
  <c r="AC174" s="1"/>
  <c r="AC127"/>
  <c r="AC133" s="1"/>
  <c r="S94"/>
  <c r="S93"/>
  <c r="R94"/>
  <c r="R93"/>
  <c r="L120" i="24"/>
  <c r="U94" i="44"/>
  <c r="U93"/>
  <c r="K41"/>
  <c r="K148"/>
  <c r="K149" s="1"/>
  <c r="K146"/>
  <c r="O20"/>
  <c r="K118" i="24" s="1"/>
  <c r="L19" i="40"/>
  <c r="O21" i="44" s="1"/>
  <c r="K119" i="24" s="1"/>
  <c r="J41" i="44"/>
  <c r="J148"/>
  <c r="J149" s="1"/>
  <c r="J146"/>
  <c r="K94"/>
  <c r="K93"/>
  <c r="D19" i="40"/>
  <c r="G21" i="44" s="1"/>
  <c r="G20"/>
  <c r="AB84"/>
  <c r="AB85" s="1"/>
  <c r="AB77"/>
  <c r="AB78" s="1"/>
  <c r="P41"/>
  <c r="P148"/>
  <c r="P149" s="1"/>
  <c r="P146"/>
  <c r="AD97"/>
  <c r="G99"/>
  <c r="AD99" s="1"/>
  <c r="G100"/>
  <c r="AD100" s="1"/>
  <c r="U125" i="24"/>
  <c r="Y160" i="44"/>
  <c r="S160"/>
  <c r="O125" i="24"/>
  <c r="D22" i="40"/>
  <c r="G24" i="44" s="1"/>
  <c r="G23"/>
  <c r="V148"/>
  <c r="V149" s="1"/>
  <c r="V41"/>
  <c r="V146"/>
  <c r="Z94"/>
  <c r="Z93"/>
  <c r="H125" i="24"/>
  <c r="L160" i="44"/>
  <c r="AC228"/>
  <c r="AC249"/>
  <c r="G57"/>
  <c r="G50"/>
  <c r="V94"/>
  <c r="V93"/>
  <c r="V120" i="24"/>
  <c r="AA160" i="44"/>
  <c r="W125" i="24"/>
  <c r="K20" i="44"/>
  <c r="G118" i="24" s="1"/>
  <c r="H19" i="40"/>
  <c r="K21" i="44" s="1"/>
  <c r="G119" i="24" s="1"/>
  <c r="H94" i="44"/>
  <c r="H93"/>
  <c r="O148"/>
  <c r="O149" s="1"/>
  <c r="O41"/>
  <c r="O146"/>
  <c r="G22" i="40"/>
  <c r="J24" i="44" s="1"/>
  <c r="J23"/>
  <c r="J125" s="1"/>
  <c r="J131" s="1"/>
  <c r="AB249"/>
  <c r="AB228"/>
  <c r="M19" i="40"/>
  <c r="P21" i="44" s="1"/>
  <c r="L119" i="24" s="1"/>
  <c r="P20" i="44"/>
  <c r="L118" i="24" s="1"/>
  <c r="Y77" i="44"/>
  <c r="Y78" s="1"/>
  <c r="Y84"/>
  <c r="Y85" s="1"/>
  <c r="S228"/>
  <c r="S249"/>
  <c r="G125" i="24"/>
  <c r="K160" i="44"/>
  <c r="R19" i="40"/>
  <c r="U21" i="44" s="1"/>
  <c r="Q119" i="24" s="1"/>
  <c r="U20" i="44"/>
  <c r="Q118" i="24" s="1"/>
  <c r="R120"/>
  <c r="N22" i="40"/>
  <c r="Q24" i="44" s="1"/>
  <c r="Q23"/>
  <c r="Q126" s="1"/>
  <c r="Q132" s="1"/>
  <c r="L249"/>
  <c r="L228"/>
  <c r="AC84"/>
  <c r="AC85" s="1"/>
  <c r="AC77"/>
  <c r="AC78" s="1"/>
  <c r="W120" i="24"/>
  <c r="S41" i="44"/>
  <c r="S148"/>
  <c r="S149" s="1"/>
  <c r="S146"/>
  <c r="L23"/>
  <c r="L125" s="1"/>
  <c r="L131" s="1"/>
  <c r="I22" i="40"/>
  <c r="L24" i="44" s="1"/>
  <c r="V160"/>
  <c r="R125" i="24"/>
  <c r="U22" i="40"/>
  <c r="X24" i="44" s="1"/>
  <c r="X23"/>
  <c r="X126" s="1"/>
  <c r="X132" s="1"/>
  <c r="P124" i="24"/>
  <c r="T147" i="44"/>
  <c r="E22" i="40"/>
  <c r="H24" i="44" s="1"/>
  <c r="H23"/>
  <c r="H125" s="1"/>
  <c r="H131" s="1"/>
  <c r="P121" i="24"/>
  <c r="T171" i="44"/>
  <c r="T127"/>
  <c r="T133" s="1"/>
  <c r="T173"/>
  <c r="T174" s="1"/>
  <c r="T175"/>
  <c r="T176" s="1"/>
  <c r="T106"/>
  <c r="T115" s="1"/>
  <c r="T205" s="1"/>
  <c r="Y23"/>
  <c r="Y125" s="1"/>
  <c r="Y131" s="1"/>
  <c r="V22" i="40"/>
  <c r="Y24" i="44" s="1"/>
  <c r="L94"/>
  <c r="L93"/>
  <c r="N148"/>
  <c r="N149" s="1"/>
  <c r="N41"/>
  <c r="N146"/>
  <c r="J84"/>
  <c r="J85" s="1"/>
  <c r="J77"/>
  <c r="J78" s="1"/>
  <c r="I148"/>
  <c r="I149" s="1"/>
  <c r="I146"/>
  <c r="I41"/>
  <c r="R23"/>
  <c r="R126" s="1"/>
  <c r="R132" s="1"/>
  <c r="O22" i="40"/>
  <c r="R24" i="44" s="1"/>
  <c r="T102"/>
  <c r="T204" s="1"/>
  <c r="Z152"/>
  <c r="Z153" s="1"/>
  <c r="O154"/>
  <c r="O155" s="1"/>
  <c r="V152"/>
  <c r="V153" s="1"/>
  <c r="AA154"/>
  <c r="AA155" s="1"/>
  <c r="F112" i="24"/>
  <c r="U112"/>
  <c r="S152" i="44"/>
  <c r="S153" s="1"/>
  <c r="AA77"/>
  <c r="AA78" s="1"/>
  <c r="AA84"/>
  <c r="AA85" s="1"/>
  <c r="T160"/>
  <c r="P125" i="24"/>
  <c r="Y122"/>
  <c r="C71" s="1"/>
  <c r="AC117" i="44"/>
  <c r="AC118" s="1"/>
  <c r="L22" i="40"/>
  <c r="O24" i="44" s="1"/>
  <c r="O23"/>
  <c r="O126" s="1"/>
  <c r="O132" s="1"/>
  <c r="F120" i="24"/>
  <c r="J126" i="44"/>
  <c r="J132" s="1"/>
  <c r="AB160"/>
  <c r="X125" i="24"/>
  <c r="P23" i="44"/>
  <c r="P126" s="1"/>
  <c r="P132" s="1"/>
  <c r="M22" i="40"/>
  <c r="P24" i="44" s="1"/>
  <c r="Q94"/>
  <c r="Q93"/>
  <c r="S77"/>
  <c r="S78" s="1"/>
  <c r="S84"/>
  <c r="S85" s="1"/>
  <c r="K228"/>
  <c r="K249"/>
  <c r="U146"/>
  <c r="U148"/>
  <c r="U149" s="1"/>
  <c r="U41"/>
  <c r="V20"/>
  <c r="R118" i="24" s="1"/>
  <c r="S19" i="40"/>
  <c r="V21" i="44" s="1"/>
  <c r="R119" i="24" s="1"/>
  <c r="Q148" i="44"/>
  <c r="Q149" s="1"/>
  <c r="Q41"/>
  <c r="Q146"/>
  <c r="X22" i="40"/>
  <c r="AA24" i="44" s="1"/>
  <c r="AA23"/>
  <c r="AA126" s="1"/>
  <c r="AA132" s="1"/>
  <c r="O120" i="24"/>
  <c r="L148" i="44"/>
  <c r="L149" s="1"/>
  <c r="L41"/>
  <c r="L146"/>
  <c r="V249"/>
  <c r="V228"/>
  <c r="X41"/>
  <c r="X146"/>
  <c r="X148"/>
  <c r="X149" s="1"/>
  <c r="T50"/>
  <c r="T51" s="1"/>
  <c r="T57"/>
  <c r="T58" s="1"/>
  <c r="Y94"/>
  <c r="Y93"/>
  <c r="D120" i="24"/>
  <c r="P122"/>
  <c r="T117" i="44"/>
  <c r="T118" s="1"/>
  <c r="U120" i="24"/>
  <c r="AD140" i="44"/>
  <c r="G207"/>
  <c r="I94"/>
  <c r="I93"/>
  <c r="P160"/>
  <c r="L125" i="24"/>
  <c r="AB50" i="44"/>
  <c r="AB51" s="1"/>
  <c r="AB57"/>
  <c r="AB58" s="1"/>
  <c r="K22" i="40"/>
  <c r="N24" i="44" s="1"/>
  <c r="N23"/>
  <c r="N125" s="1"/>
  <c r="N131" s="1"/>
  <c r="J249"/>
  <c r="J228"/>
  <c r="X94"/>
  <c r="X93"/>
  <c r="I20"/>
  <c r="E118" i="24" s="1"/>
  <c r="F19" i="40"/>
  <c r="I21" i="44" s="1"/>
  <c r="E119" i="24" s="1"/>
  <c r="R146" i="44"/>
  <c r="R148"/>
  <c r="R149" s="1"/>
  <c r="R41"/>
  <c r="Z154"/>
  <c r="Z155" s="1"/>
  <c r="K152"/>
  <c r="K153" s="1"/>
  <c r="J154"/>
  <c r="J155" s="1"/>
  <c r="Y154"/>
  <c r="Y155" s="1"/>
  <c r="K120" i="24"/>
  <c r="Y228" i="44"/>
  <c r="Y249"/>
  <c r="K84"/>
  <c r="K85" s="1"/>
  <c r="K77"/>
  <c r="K78" s="1"/>
  <c r="Y19" i="40"/>
  <c r="AB21" i="44" s="1"/>
  <c r="X119" i="24" s="1"/>
  <c r="AB20" i="44"/>
  <c r="X118" i="24" s="1"/>
  <c r="T20" i="44"/>
  <c r="P118" i="24" s="1"/>
  <c r="Q19" i="40"/>
  <c r="T21" i="44" s="1"/>
  <c r="P119" i="24" s="1"/>
  <c r="R22" i="40"/>
  <c r="U24" i="44" s="1"/>
  <c r="U23"/>
  <c r="V23"/>
  <c r="V126" s="1"/>
  <c r="V132" s="1"/>
  <c r="S22" i="40"/>
  <c r="V24" i="44" s="1"/>
  <c r="N19" i="40"/>
  <c r="Q21" i="44" s="1"/>
  <c r="M119" i="24" s="1"/>
  <c r="Q20" i="44"/>
  <c r="M118" i="24" s="1"/>
  <c r="L84" i="44"/>
  <c r="L85" s="1"/>
  <c r="L77"/>
  <c r="L78" s="1"/>
  <c r="Y125" i="24"/>
  <c r="AC160" i="44"/>
  <c r="AA20"/>
  <c r="W118" i="24" s="1"/>
  <c r="X19" i="40"/>
  <c r="AA21" i="44" s="1"/>
  <c r="W119" i="24" s="1"/>
  <c r="Y124"/>
  <c r="AC147" i="44"/>
  <c r="AC199" s="1"/>
  <c r="P22" i="40"/>
  <c r="S24" i="44" s="1"/>
  <c r="S23"/>
  <c r="H120" i="24"/>
  <c r="N94" i="44"/>
  <c r="N93"/>
  <c r="V84"/>
  <c r="V85" s="1"/>
  <c r="V77"/>
  <c r="V78" s="1"/>
  <c r="T120" i="24"/>
  <c r="X125" i="44"/>
  <c r="X131" s="1"/>
  <c r="J94"/>
  <c r="J93"/>
  <c r="H148"/>
  <c r="H149" s="1"/>
  <c r="H41"/>
  <c r="H146"/>
  <c r="O94"/>
  <c r="O93"/>
  <c r="V19" i="40"/>
  <c r="Y21" i="44" s="1"/>
  <c r="U119" i="24" s="1"/>
  <c r="Y20" i="44"/>
  <c r="U118" i="24" s="1"/>
  <c r="P94" i="44"/>
  <c r="P93"/>
  <c r="AD159"/>
  <c r="G160"/>
  <c r="C125" i="24"/>
  <c r="AD161" i="44"/>
  <c r="G162"/>
  <c r="AD162" s="1"/>
  <c r="P228"/>
  <c r="P249"/>
  <c r="X124" i="24"/>
  <c r="AB147" i="44"/>
  <c r="AB199" s="1"/>
  <c r="N20"/>
  <c r="J118" i="24" s="1"/>
  <c r="B67" s="1"/>
  <c r="K19" i="40"/>
  <c r="N21" i="44" s="1"/>
  <c r="J119" i="24" s="1"/>
  <c r="B68" s="1"/>
  <c r="J160" i="44"/>
  <c r="F125" i="24"/>
  <c r="E120"/>
  <c r="X122"/>
  <c r="AB117" i="44"/>
  <c r="AB118" s="1"/>
  <c r="O19" i="40"/>
  <c r="R21" i="44" s="1"/>
  <c r="N119" i="24" s="1"/>
  <c r="R20" i="44"/>
  <c r="N118" i="24" s="1"/>
  <c r="V112"/>
  <c r="AC102" i="44"/>
  <c r="AC204" s="1"/>
  <c r="AD91"/>
  <c r="U152"/>
  <c r="U153" s="1"/>
  <c r="V154"/>
  <c r="V155" s="1"/>
  <c r="Q154"/>
  <c r="Q155" s="1"/>
  <c r="K154"/>
  <c r="K155" s="1"/>
  <c r="AC126"/>
  <c r="AC132" s="1"/>
  <c r="O112" i="24"/>
  <c r="D112"/>
  <c r="C124"/>
  <c r="G147" i="44"/>
  <c r="Z23"/>
  <c r="Z125" s="1"/>
  <c r="Z131" s="1"/>
  <c r="W22" i="40"/>
  <c r="Z24" i="44" s="1"/>
  <c r="G120" i="24"/>
  <c r="G149" i="44"/>
  <c r="AA228"/>
  <c r="AA249"/>
  <c r="K23"/>
  <c r="K125" s="1"/>
  <c r="K131" s="1"/>
  <c r="H22" i="40"/>
  <c r="K24" i="44" s="1"/>
  <c r="AA93"/>
  <c r="AA94"/>
  <c r="G19" i="40"/>
  <c r="J21" i="44" s="1"/>
  <c r="F119" i="24" s="1"/>
  <c r="J20" i="44"/>
  <c r="F118" i="24" s="1"/>
  <c r="X120"/>
  <c r="AB126" i="44"/>
  <c r="AB132" s="1"/>
  <c r="AB125"/>
  <c r="AB131" s="1"/>
  <c r="W19" i="40"/>
  <c r="Z21" i="44" s="1"/>
  <c r="V119" i="24" s="1"/>
  <c r="Z20" i="44"/>
  <c r="V118" i="24" s="1"/>
  <c r="T84" i="44"/>
  <c r="T85" s="1"/>
  <c r="T77"/>
  <c r="T78" s="1"/>
  <c r="Q120" i="24"/>
  <c r="U126" i="44"/>
  <c r="U132" s="1"/>
  <c r="U125"/>
  <c r="U131" s="1"/>
  <c r="M120" i="24"/>
  <c r="Q125" i="44"/>
  <c r="Q131" s="1"/>
  <c r="AA148"/>
  <c r="AA149" s="1"/>
  <c r="AA41"/>
  <c r="AA146"/>
  <c r="AC57"/>
  <c r="AC58" s="1"/>
  <c r="AC203" s="1"/>
  <c r="AC50"/>
  <c r="AC51" s="1"/>
  <c r="S20"/>
  <c r="O118" i="24" s="1"/>
  <c r="P19" i="40"/>
  <c r="S21" i="44" s="1"/>
  <c r="O119" i="24" s="1"/>
  <c r="L20" i="44"/>
  <c r="H118" i="24" s="1"/>
  <c r="I19" i="40"/>
  <c r="L21" i="44" s="1"/>
  <c r="H119" i="24" s="1"/>
  <c r="U19" i="40"/>
  <c r="X21" i="44" s="1"/>
  <c r="T119" i="24" s="1"/>
  <c r="X20" i="44"/>
  <c r="T118" i="24" s="1"/>
  <c r="H20" i="44"/>
  <c r="D118" i="24" s="1"/>
  <c r="E19" i="40"/>
  <c r="H21" i="44" s="1"/>
  <c r="D119" i="24" s="1"/>
  <c r="Y148" i="44"/>
  <c r="Y149" s="1"/>
  <c r="Y41"/>
  <c r="Y146"/>
  <c r="G126"/>
  <c r="AD22"/>
  <c r="C120" i="24"/>
  <c r="G125" i="44"/>
  <c r="AD68"/>
  <c r="G77"/>
  <c r="G84"/>
  <c r="P84"/>
  <c r="P85" s="1"/>
  <c r="P77"/>
  <c r="P78" s="1"/>
  <c r="J120" i="24"/>
  <c r="B69" s="1"/>
  <c r="F22" i="40"/>
  <c r="I24" i="44" s="1"/>
  <c r="I23"/>
  <c r="I126" s="1"/>
  <c r="I132" s="1"/>
  <c r="AB175"/>
  <c r="AB176" s="1"/>
  <c r="X121" i="24"/>
  <c r="AB173" i="44"/>
  <c r="AB174" s="1"/>
  <c r="AB127"/>
  <c r="AB133" s="1"/>
  <c r="AB171"/>
  <c r="AB106"/>
  <c r="AB115" s="1"/>
  <c r="AB205" s="1"/>
  <c r="N120" i="24"/>
  <c r="R125" i="44"/>
  <c r="R131" s="1"/>
  <c r="AB102"/>
  <c r="AB204" s="1"/>
  <c r="AD11"/>
  <c r="Q112" i="24"/>
  <c r="R112"/>
  <c r="Q152" i="44"/>
  <c r="Q153" s="1"/>
  <c r="G112" i="24"/>
  <c r="W112"/>
  <c r="AC125" i="44"/>
  <c r="AC131" s="1"/>
  <c r="AC206" s="1"/>
  <c r="J152"/>
  <c r="J153" s="1"/>
  <c r="S154"/>
  <c r="S155" s="1"/>
  <c r="H154"/>
  <c r="X102" l="1"/>
  <c r="X204" s="1"/>
  <c r="AD146"/>
  <c r="L126"/>
  <c r="L132" s="1"/>
  <c r="K102"/>
  <c r="K204" s="1"/>
  <c r="K225" s="1"/>
  <c r="N102"/>
  <c r="N204" s="1"/>
  <c r="N225" s="1"/>
  <c r="Y102"/>
  <c r="Y204" s="1"/>
  <c r="Y225" s="1"/>
  <c r="AD94"/>
  <c r="Q102"/>
  <c r="Q204" s="1"/>
  <c r="Q246" s="1"/>
  <c r="Z125" i="24"/>
  <c r="D74" s="1"/>
  <c r="D61"/>
  <c r="AB206" i="44"/>
  <c r="AB248" s="1"/>
  <c r="Y126"/>
  <c r="Y132" s="1"/>
  <c r="H126"/>
  <c r="H132" s="1"/>
  <c r="V102"/>
  <c r="V204" s="1"/>
  <c r="V246" s="1"/>
  <c r="N126"/>
  <c r="N132" s="1"/>
  <c r="D69" i="24"/>
  <c r="AB203" i="44"/>
  <c r="AB224" s="1"/>
  <c r="I102"/>
  <c r="I204" s="1"/>
  <c r="U102"/>
  <c r="U204" s="1"/>
  <c r="O125"/>
  <c r="O131" s="1"/>
  <c r="H155"/>
  <c r="AD155" s="1"/>
  <c r="AD154"/>
  <c r="AD77"/>
  <c r="G78"/>
  <c r="AD78" s="1"/>
  <c r="Y50"/>
  <c r="Y51" s="1"/>
  <c r="Y57"/>
  <c r="Y58" s="1"/>
  <c r="Y203" s="1"/>
  <c r="W124" i="24"/>
  <c r="AA147" i="44"/>
  <c r="AB220"/>
  <c r="AB221" s="1"/>
  <c r="AB241"/>
  <c r="AB242" s="1"/>
  <c r="AB200"/>
  <c r="AC241"/>
  <c r="AC242" s="1"/>
  <c r="AC200"/>
  <c r="AC220"/>
  <c r="AC221" s="1"/>
  <c r="G228"/>
  <c r="D228" s="1"/>
  <c r="F18" i="24" s="1"/>
  <c r="D207" i="44"/>
  <c r="G249"/>
  <c r="D249" s="1"/>
  <c r="F39" i="24" s="1"/>
  <c r="Y246" i="44"/>
  <c r="Q124" i="24"/>
  <c r="U147" i="44"/>
  <c r="I171"/>
  <c r="E121" i="24"/>
  <c r="I127" i="44"/>
  <c r="I133" s="1"/>
  <c r="I175"/>
  <c r="I176" s="1"/>
  <c r="I173"/>
  <c r="I174" s="1"/>
  <c r="I106"/>
  <c r="I115" s="1"/>
  <c r="I205" s="1"/>
  <c r="G131"/>
  <c r="U124" i="24"/>
  <c r="Y147" i="44"/>
  <c r="AC245"/>
  <c r="AC224"/>
  <c r="G199"/>
  <c r="O122" i="24"/>
  <c r="S117" i="44"/>
  <c r="S118" s="1"/>
  <c r="V175"/>
  <c r="V176" s="1"/>
  <c r="V127"/>
  <c r="V133" s="1"/>
  <c r="V171"/>
  <c r="V173"/>
  <c r="V174" s="1"/>
  <c r="R121" i="24"/>
  <c r="V106" i="44"/>
  <c r="V115" s="1"/>
  <c r="V205" s="1"/>
  <c r="N124" i="24"/>
  <c r="R147" i="44"/>
  <c r="N117"/>
  <c r="N118" s="1"/>
  <c r="J122" i="24"/>
  <c r="B71" s="1"/>
  <c r="T202" i="44"/>
  <c r="AA171"/>
  <c r="W121" i="24"/>
  <c r="AA173" i="44"/>
  <c r="AA174" s="1"/>
  <c r="AA127"/>
  <c r="AA133" s="1"/>
  <c r="AA175"/>
  <c r="AA176" s="1"/>
  <c r="AA106"/>
  <c r="AA115" s="1"/>
  <c r="AA205" s="1"/>
  <c r="P117"/>
  <c r="P118" s="1"/>
  <c r="L122" i="24"/>
  <c r="K122"/>
  <c r="O117" i="44"/>
  <c r="O118" s="1"/>
  <c r="I50"/>
  <c r="I51" s="1"/>
  <c r="I57"/>
  <c r="I58" s="1"/>
  <c r="I203" s="1"/>
  <c r="U122" i="24"/>
  <c r="Y117" i="44"/>
  <c r="Y118" s="1"/>
  <c r="O124" i="24"/>
  <c r="S147" i="44"/>
  <c r="F122" i="24"/>
  <c r="J117" i="44"/>
  <c r="J118" s="1"/>
  <c r="G58"/>
  <c r="R124" i="24"/>
  <c r="V147" i="44"/>
  <c r="C122" i="24"/>
  <c r="AD24" i="44"/>
  <c r="G117"/>
  <c r="L124" i="24"/>
  <c r="P147" i="44"/>
  <c r="K50"/>
  <c r="K51" s="1"/>
  <c r="K57"/>
  <c r="K58" s="1"/>
  <c r="K203" s="1"/>
  <c r="V124" i="24"/>
  <c r="Z147" i="44"/>
  <c r="AD149"/>
  <c r="T206"/>
  <c r="AA102"/>
  <c r="AA204" s="1"/>
  <c r="I125"/>
  <c r="I131" s="1"/>
  <c r="P102"/>
  <c r="P204" s="1"/>
  <c r="O102"/>
  <c r="O204" s="1"/>
  <c r="AD153"/>
  <c r="L102"/>
  <c r="L204" s="1"/>
  <c r="G102"/>
  <c r="T199"/>
  <c r="AA125"/>
  <c r="AA131" s="1"/>
  <c r="V125"/>
  <c r="V131" s="1"/>
  <c r="H102"/>
  <c r="H204" s="1"/>
  <c r="P125"/>
  <c r="P131" s="1"/>
  <c r="R102"/>
  <c r="R204" s="1"/>
  <c r="G132"/>
  <c r="AC202"/>
  <c r="V121" i="24"/>
  <c r="Z171" i="44"/>
  <c r="Z127"/>
  <c r="Z133" s="1"/>
  <c r="Z175"/>
  <c r="Z176" s="1"/>
  <c r="Z106"/>
  <c r="Z115" s="1"/>
  <c r="Z205" s="1"/>
  <c r="Z173"/>
  <c r="Z174" s="1"/>
  <c r="AC225"/>
  <c r="AC246"/>
  <c r="H57"/>
  <c r="H58" s="1"/>
  <c r="H203" s="1"/>
  <c r="H50"/>
  <c r="H51" s="1"/>
  <c r="S171"/>
  <c r="O121" i="24"/>
  <c r="S127" i="44"/>
  <c r="S133" s="1"/>
  <c r="S173"/>
  <c r="S174" s="1"/>
  <c r="S106"/>
  <c r="S115" s="1"/>
  <c r="S205" s="1"/>
  <c r="S175"/>
  <c r="S176" s="1"/>
  <c r="R122" i="24"/>
  <c r="V117" i="44"/>
  <c r="V118" s="1"/>
  <c r="X225"/>
  <c r="X246"/>
  <c r="N171"/>
  <c r="N173"/>
  <c r="N174" s="1"/>
  <c r="J121" i="24"/>
  <c r="B70" s="1"/>
  <c r="N175" i="44"/>
  <c r="N176" s="1"/>
  <c r="N127"/>
  <c r="N133" s="1"/>
  <c r="N106"/>
  <c r="N115" s="1"/>
  <c r="N205" s="1"/>
  <c r="X50"/>
  <c r="X51" s="1"/>
  <c r="X57"/>
  <c r="X58" s="1"/>
  <c r="X203" s="1"/>
  <c r="L57"/>
  <c r="L58" s="1"/>
  <c r="L203" s="1"/>
  <c r="L50"/>
  <c r="L51" s="1"/>
  <c r="Q50"/>
  <c r="Q51" s="1"/>
  <c r="Q57"/>
  <c r="Q58" s="1"/>
  <c r="Q203" s="1"/>
  <c r="U50"/>
  <c r="U51" s="1"/>
  <c r="U57"/>
  <c r="U58" s="1"/>
  <c r="U203" s="1"/>
  <c r="O171"/>
  <c r="K121" i="24"/>
  <c r="O173" i="44"/>
  <c r="O174" s="1"/>
  <c r="O106"/>
  <c r="O115" s="1"/>
  <c r="O205" s="1"/>
  <c r="O127"/>
  <c r="O133" s="1"/>
  <c r="O206" s="1"/>
  <c r="O175"/>
  <c r="O176" s="1"/>
  <c r="R171"/>
  <c r="N121" i="24"/>
  <c r="R173" i="44"/>
  <c r="R174" s="1"/>
  <c r="R106"/>
  <c r="R115" s="1"/>
  <c r="R205" s="1"/>
  <c r="R127"/>
  <c r="R133" s="1"/>
  <c r="R175"/>
  <c r="R176" s="1"/>
  <c r="D122" i="24"/>
  <c r="H117" i="44"/>
  <c r="H118" s="1"/>
  <c r="X117"/>
  <c r="X118" s="1"/>
  <c r="T122" i="24"/>
  <c r="L173" i="44"/>
  <c r="L174" s="1"/>
  <c r="H121" i="24"/>
  <c r="L171" i="44"/>
  <c r="L127"/>
  <c r="L133" s="1"/>
  <c r="L175"/>
  <c r="L176" s="1"/>
  <c r="L106"/>
  <c r="L115" s="1"/>
  <c r="L205" s="1"/>
  <c r="M122" i="24"/>
  <c r="Q117" i="44"/>
  <c r="Q118" s="1"/>
  <c r="J173"/>
  <c r="J174" s="1"/>
  <c r="J171"/>
  <c r="J127"/>
  <c r="J133" s="1"/>
  <c r="F121" i="24"/>
  <c r="J175" i="44"/>
  <c r="J176" s="1"/>
  <c r="J106"/>
  <c r="J115" s="1"/>
  <c r="J205" s="1"/>
  <c r="V225"/>
  <c r="G51"/>
  <c r="G175"/>
  <c r="AD23"/>
  <c r="G127"/>
  <c r="C121" i="24"/>
  <c r="G173" i="44"/>
  <c r="G106"/>
  <c r="G171"/>
  <c r="J50"/>
  <c r="J51" s="1"/>
  <c r="J57"/>
  <c r="J58" s="1"/>
  <c r="J203" s="1"/>
  <c r="AC247"/>
  <c r="AC226"/>
  <c r="T203"/>
  <c r="AD152"/>
  <c r="AB226"/>
  <c r="AB247"/>
  <c r="V122" i="24"/>
  <c r="Z117" i="44"/>
  <c r="Z118" s="1"/>
  <c r="D124" i="24"/>
  <c r="H147" i="44"/>
  <c r="N246"/>
  <c r="U117"/>
  <c r="U118" s="1"/>
  <c r="Q122" i="24"/>
  <c r="R50" i="44"/>
  <c r="R51" s="1"/>
  <c r="R57"/>
  <c r="R58" s="1"/>
  <c r="R203" s="1"/>
  <c r="AB202"/>
  <c r="T124" i="24"/>
  <c r="X147" i="44"/>
  <c r="H124" i="24"/>
  <c r="L147" i="44"/>
  <c r="M124" i="24"/>
  <c r="Q147" i="44"/>
  <c r="N122" i="24"/>
  <c r="R117" i="44"/>
  <c r="R118" s="1"/>
  <c r="N57"/>
  <c r="N58" s="1"/>
  <c r="N203" s="1"/>
  <c r="N50"/>
  <c r="N51" s="1"/>
  <c r="T247"/>
  <c r="T226"/>
  <c r="T172"/>
  <c r="P126" i="24"/>
  <c r="D121"/>
  <c r="H171" i="44"/>
  <c r="H175"/>
  <c r="H176" s="1"/>
  <c r="H173"/>
  <c r="H174" s="1"/>
  <c r="H127"/>
  <c r="H133" s="1"/>
  <c r="H206" s="1"/>
  <c r="H106"/>
  <c r="H115" s="1"/>
  <c r="H205" s="1"/>
  <c r="X171"/>
  <c r="T121" i="24"/>
  <c r="X127" i="44"/>
  <c r="X133" s="1"/>
  <c r="X206" s="1"/>
  <c r="X173"/>
  <c r="X174" s="1"/>
  <c r="X106"/>
  <c r="X115" s="1"/>
  <c r="X205" s="1"/>
  <c r="X175"/>
  <c r="X176" s="1"/>
  <c r="H122" i="24"/>
  <c r="L117" i="44"/>
  <c r="L118" s="1"/>
  <c r="S50"/>
  <c r="S51" s="1"/>
  <c r="S57"/>
  <c r="S58" s="1"/>
  <c r="S203" s="1"/>
  <c r="M121" i="24"/>
  <c r="Q127" i="44"/>
  <c r="Q133" s="1"/>
  <c r="Q206" s="1"/>
  <c r="Q171"/>
  <c r="Q106"/>
  <c r="Q115" s="1"/>
  <c r="Q205" s="1"/>
  <c r="Q173"/>
  <c r="Q174" s="1"/>
  <c r="Q175"/>
  <c r="Q176" s="1"/>
  <c r="O50"/>
  <c r="O51" s="1"/>
  <c r="O57"/>
  <c r="O58" s="1"/>
  <c r="O203" s="1"/>
  <c r="P57"/>
  <c r="P58" s="1"/>
  <c r="P203" s="1"/>
  <c r="P50"/>
  <c r="P51" s="1"/>
  <c r="C119" i="24"/>
  <c r="D68" s="1"/>
  <c r="AD21" i="44"/>
  <c r="G124" i="24"/>
  <c r="K147" i="44"/>
  <c r="Y126" i="24"/>
  <c r="AC172" i="44"/>
  <c r="AC208" s="1"/>
  <c r="AD160"/>
  <c r="S126"/>
  <c r="S132" s="1"/>
  <c r="Z102"/>
  <c r="Z204" s="1"/>
  <c r="S102"/>
  <c r="S204" s="1"/>
  <c r="AC227"/>
  <c r="AC248"/>
  <c r="AB172"/>
  <c r="AB208" s="1"/>
  <c r="X126" i="24"/>
  <c r="AA57" i="44"/>
  <c r="AA58" s="1"/>
  <c r="AA203" s="1"/>
  <c r="AA50"/>
  <c r="AA51" s="1"/>
  <c r="K171"/>
  <c r="G121" i="24"/>
  <c r="K173" i="44"/>
  <c r="K174" s="1"/>
  <c r="K127"/>
  <c r="K133" s="1"/>
  <c r="K175"/>
  <c r="K176" s="1"/>
  <c r="K106"/>
  <c r="K115" s="1"/>
  <c r="K205" s="1"/>
  <c r="AB225"/>
  <c r="AB246"/>
  <c r="E122" i="24"/>
  <c r="I117" i="44"/>
  <c r="I118" s="1"/>
  <c r="AD84"/>
  <c r="G85"/>
  <c r="AD85" s="1"/>
  <c r="G122" i="24"/>
  <c r="K117" i="44"/>
  <c r="K118" s="1"/>
  <c r="U171"/>
  <c r="U175"/>
  <c r="U176" s="1"/>
  <c r="U173"/>
  <c r="U174" s="1"/>
  <c r="Q121" i="24"/>
  <c r="U106" i="44"/>
  <c r="U115" s="1"/>
  <c r="U205" s="1"/>
  <c r="U127"/>
  <c r="U133" s="1"/>
  <c r="U206" s="1"/>
  <c r="I246"/>
  <c r="I225"/>
  <c r="W122" i="24"/>
  <c r="AA117" i="44"/>
  <c r="AA118" s="1"/>
  <c r="P171"/>
  <c r="L121" i="24"/>
  <c r="P173" i="44"/>
  <c r="P174" s="1"/>
  <c r="P175"/>
  <c r="P176" s="1"/>
  <c r="P127"/>
  <c r="P133" s="1"/>
  <c r="P106"/>
  <c r="P115" s="1"/>
  <c r="P205" s="1"/>
  <c r="T225"/>
  <c r="T246"/>
  <c r="E124" i="24"/>
  <c r="I147" i="44"/>
  <c r="J124" i="24"/>
  <c r="N147" i="44"/>
  <c r="Y175"/>
  <c r="Y176" s="1"/>
  <c r="U121" i="24"/>
  <c r="Y171" i="44"/>
  <c r="Y106"/>
  <c r="Y115" s="1"/>
  <c r="Y205" s="1"/>
  <c r="Y173"/>
  <c r="Y174" s="1"/>
  <c r="Y127"/>
  <c r="Y133" s="1"/>
  <c r="K124" i="24"/>
  <c r="O147" i="44"/>
  <c r="V50"/>
  <c r="V51" s="1"/>
  <c r="V57"/>
  <c r="V58" s="1"/>
  <c r="V203" s="1"/>
  <c r="AD20"/>
  <c r="C118" i="24"/>
  <c r="D67" s="1"/>
  <c r="F124"/>
  <c r="J147" i="44"/>
  <c r="U225"/>
  <c r="U246"/>
  <c r="Z50"/>
  <c r="Z51" s="1"/>
  <c r="Z57"/>
  <c r="Z58" s="1"/>
  <c r="Z203" s="1"/>
  <c r="AD166"/>
  <c r="AD148"/>
  <c r="K126"/>
  <c r="K132" s="1"/>
  <c r="J102"/>
  <c r="J204" s="1"/>
  <c r="S125"/>
  <c r="S131" s="1"/>
  <c r="AD93"/>
  <c r="Z126"/>
  <c r="Z132" s="1"/>
  <c r="Z206" s="1"/>
  <c r="AD41"/>
  <c r="AB227" l="1"/>
  <c r="Q225"/>
  <c r="K246"/>
  <c r="AA206"/>
  <c r="I206"/>
  <c r="I227" s="1"/>
  <c r="Z124" i="24"/>
  <c r="D73" s="1"/>
  <c r="Y206" i="44"/>
  <c r="Y248" s="1"/>
  <c r="AB245"/>
  <c r="K206"/>
  <c r="K227" s="1"/>
  <c r="J206"/>
  <c r="J227" s="1"/>
  <c r="N206"/>
  <c r="N248" s="1"/>
  <c r="L206"/>
  <c r="L227" s="1"/>
  <c r="Z248"/>
  <c r="Z227"/>
  <c r="Q227"/>
  <c r="Q248"/>
  <c r="U227"/>
  <c r="U248"/>
  <c r="X227"/>
  <c r="X248"/>
  <c r="J225"/>
  <c r="J246"/>
  <c r="Y247"/>
  <c r="Y226"/>
  <c r="S225"/>
  <c r="S246"/>
  <c r="H248"/>
  <c r="H227"/>
  <c r="O202"/>
  <c r="M126" i="24"/>
  <c r="Q172" i="44"/>
  <c r="Q208" s="1"/>
  <c r="S202"/>
  <c r="T126" i="24"/>
  <c r="X172" i="44"/>
  <c r="X208" s="1"/>
  <c r="Z202"/>
  <c r="P172"/>
  <c r="P208" s="1"/>
  <c r="L126" i="24"/>
  <c r="K172" i="44"/>
  <c r="K208" s="1"/>
  <c r="G126" i="24"/>
  <c r="AA224" i="44"/>
  <c r="AA245"/>
  <c r="AC229"/>
  <c r="AC250"/>
  <c r="Q226"/>
  <c r="Q247"/>
  <c r="L199"/>
  <c r="H199"/>
  <c r="J245"/>
  <c r="J224"/>
  <c r="AD171"/>
  <c r="G172"/>
  <c r="C126" i="24"/>
  <c r="K126"/>
  <c r="O172" i="44"/>
  <c r="O208" s="1"/>
  <c r="Q202"/>
  <c r="X202"/>
  <c r="Z224"/>
  <c r="Z245"/>
  <c r="J199"/>
  <c r="V224"/>
  <c r="V245"/>
  <c r="I199"/>
  <c r="P247"/>
  <c r="P226"/>
  <c r="K247"/>
  <c r="K226"/>
  <c r="AA202"/>
  <c r="P224"/>
  <c r="P245"/>
  <c r="R202"/>
  <c r="AD51"/>
  <c r="G202"/>
  <c r="J226"/>
  <c r="J247"/>
  <c r="J172"/>
  <c r="J208" s="1"/>
  <c r="F126" i="24"/>
  <c r="L226" i="44"/>
  <c r="L247"/>
  <c r="R226"/>
  <c r="R247"/>
  <c r="Q224"/>
  <c r="Q245"/>
  <c r="X224"/>
  <c r="X245"/>
  <c r="L225"/>
  <c r="L246"/>
  <c r="O225"/>
  <c r="O246"/>
  <c r="T227"/>
  <c r="T248"/>
  <c r="K245"/>
  <c r="K224"/>
  <c r="G118"/>
  <c r="AD118" s="1"/>
  <c r="AD117"/>
  <c r="AA172"/>
  <c r="AA208" s="1"/>
  <c r="W126" i="24"/>
  <c r="E126"/>
  <c r="I172" i="44"/>
  <c r="I208" s="1"/>
  <c r="AA199"/>
  <c r="AD50"/>
  <c r="S206"/>
  <c r="D70" i="24"/>
  <c r="V206" i="44"/>
  <c r="AD147"/>
  <c r="Y172"/>
  <c r="Y208" s="1"/>
  <c r="U126" i="24"/>
  <c r="U247" i="44"/>
  <c r="U226"/>
  <c r="U172"/>
  <c r="U208" s="1"/>
  <c r="Q126" i="24"/>
  <c r="AB250" i="44"/>
  <c r="AB229"/>
  <c r="Z246"/>
  <c r="Z225"/>
  <c r="K199"/>
  <c r="K178"/>
  <c r="P202"/>
  <c r="H226"/>
  <c r="H247"/>
  <c r="D126" i="24"/>
  <c r="H172" i="44"/>
  <c r="H208" s="1"/>
  <c r="Q199"/>
  <c r="X199"/>
  <c r="R245"/>
  <c r="R224"/>
  <c r="O227"/>
  <c r="O248"/>
  <c r="AD173"/>
  <c r="G174"/>
  <c r="AD174" s="1"/>
  <c r="AD175"/>
  <c r="G176"/>
  <c r="AD176" s="1"/>
  <c r="L172"/>
  <c r="L208" s="1"/>
  <c r="H126" i="24"/>
  <c r="N126"/>
  <c r="R172" i="44"/>
  <c r="R208" s="1"/>
  <c r="U202"/>
  <c r="L224"/>
  <c r="L245"/>
  <c r="N172"/>
  <c r="N208" s="1"/>
  <c r="J126" i="24"/>
  <c r="H224" i="44"/>
  <c r="H245"/>
  <c r="Z226"/>
  <c r="Z247"/>
  <c r="H246"/>
  <c r="H225"/>
  <c r="AD102"/>
  <c r="G204"/>
  <c r="AA246"/>
  <c r="AA225"/>
  <c r="V199"/>
  <c r="AA226"/>
  <c r="AA247"/>
  <c r="V247"/>
  <c r="V226"/>
  <c r="G241"/>
  <c r="G200"/>
  <c r="G220"/>
  <c r="Y199"/>
  <c r="Y178"/>
  <c r="Y182" s="1"/>
  <c r="I247"/>
  <c r="I226"/>
  <c r="Y90" i="24"/>
  <c r="Y97" s="1"/>
  <c r="Y202" i="44"/>
  <c r="AD132"/>
  <c r="O199"/>
  <c r="X247"/>
  <c r="X226"/>
  <c r="T208"/>
  <c r="T178"/>
  <c r="T182" s="1"/>
  <c r="AB244"/>
  <c r="AB251" s="1"/>
  <c r="AB253" s="1"/>
  <c r="AB223"/>
  <c r="AB209"/>
  <c r="X91" i="24" s="1"/>
  <c r="X98" s="1"/>
  <c r="T245" i="44"/>
  <c r="T224"/>
  <c r="J202"/>
  <c r="AD106"/>
  <c r="G115"/>
  <c r="O247"/>
  <c r="O226"/>
  <c r="U224"/>
  <c r="U245"/>
  <c r="L202"/>
  <c r="N226"/>
  <c r="N247"/>
  <c r="H202"/>
  <c r="V126" i="24"/>
  <c r="Z172" i="44"/>
  <c r="Z208" s="1"/>
  <c r="T200"/>
  <c r="T220"/>
  <c r="T221" s="1"/>
  <c r="T241"/>
  <c r="T242" s="1"/>
  <c r="I248"/>
  <c r="Z199"/>
  <c r="P199"/>
  <c r="P178"/>
  <c r="I202"/>
  <c r="T223"/>
  <c r="T244"/>
  <c r="T209"/>
  <c r="P91" i="24" s="1"/>
  <c r="P98" s="1"/>
  <c r="R126"/>
  <c r="V172" i="44"/>
  <c r="V208" s="1"/>
  <c r="Y245"/>
  <c r="Y224"/>
  <c r="R206"/>
  <c r="AD126"/>
  <c r="P206"/>
  <c r="AC178"/>
  <c r="AC182" s="1"/>
  <c r="D71" i="24"/>
  <c r="AD57" i="44"/>
  <c r="AD125"/>
  <c r="N199"/>
  <c r="N224"/>
  <c r="N245"/>
  <c r="V202"/>
  <c r="O245"/>
  <c r="O224"/>
  <c r="S224"/>
  <c r="S245"/>
  <c r="N202"/>
  <c r="AD127"/>
  <c r="G133"/>
  <c r="AD133" s="1"/>
  <c r="S247"/>
  <c r="S226"/>
  <c r="O126" i="24"/>
  <c r="S172" i="44"/>
  <c r="S208" s="1"/>
  <c r="AC209"/>
  <c r="Y91" i="24" s="1"/>
  <c r="Y98" s="1"/>
  <c r="AC244" i="44"/>
  <c r="AC223"/>
  <c r="AC230" s="1"/>
  <c r="AC232" s="1"/>
  <c r="R246"/>
  <c r="R225"/>
  <c r="P246"/>
  <c r="P225"/>
  <c r="K202"/>
  <c r="AD58"/>
  <c r="G203"/>
  <c r="S199"/>
  <c r="I224"/>
  <c r="I245"/>
  <c r="R199"/>
  <c r="R178"/>
  <c r="R182" s="1"/>
  <c r="AD131"/>
  <c r="U199"/>
  <c r="U178"/>
  <c r="U182" s="1"/>
  <c r="AB211"/>
  <c r="X90" i="24"/>
  <c r="X97" s="1"/>
  <c r="AB178" i="44"/>
  <c r="AB182" s="1"/>
  <c r="Z178" l="1"/>
  <c r="Z182" s="1"/>
  <c r="Z186" s="1"/>
  <c r="X99" i="24"/>
  <c r="X105" s="1"/>
  <c r="L248" i="44"/>
  <c r="J248"/>
  <c r="Y227"/>
  <c r="AC251"/>
  <c r="AC253" s="1"/>
  <c r="N178"/>
  <c r="N182" s="1"/>
  <c r="N184" s="1"/>
  <c r="Q178"/>
  <c r="Q182" s="1"/>
  <c r="Q184" s="1"/>
  <c r="AD135"/>
  <c r="P182"/>
  <c r="P184" s="1"/>
  <c r="N227"/>
  <c r="AB212"/>
  <c r="K248"/>
  <c r="O178"/>
  <c r="O182" s="1"/>
  <c r="O184" s="1"/>
  <c r="V178"/>
  <c r="V182" s="1"/>
  <c r="V184" s="1"/>
  <c r="AA178"/>
  <c r="AA182" s="1"/>
  <c r="AA186" s="1"/>
  <c r="K182"/>
  <c r="K186" s="1"/>
  <c r="H178"/>
  <c r="H182" s="1"/>
  <c r="H186" s="1"/>
  <c r="H229"/>
  <c r="H250"/>
  <c r="Y186"/>
  <c r="Y184"/>
  <c r="D203"/>
  <c r="G245"/>
  <c r="D245" s="1"/>
  <c r="F35" i="24" s="1"/>
  <c r="G224" i="44"/>
  <c r="D224" s="1"/>
  <c r="F14" i="24" s="1"/>
  <c r="U241" i="44"/>
  <c r="U242" s="1"/>
  <c r="U200"/>
  <c r="U220"/>
  <c r="U221" s="1"/>
  <c r="R200"/>
  <c r="R220"/>
  <c r="R221" s="1"/>
  <c r="R241"/>
  <c r="R242" s="1"/>
  <c r="S200"/>
  <c r="S241"/>
  <c r="S242" s="1"/>
  <c r="S220"/>
  <c r="S221" s="1"/>
  <c r="S229"/>
  <c r="S250"/>
  <c r="N209"/>
  <c r="J91" i="24" s="1"/>
  <c r="J98" s="1"/>
  <c r="N244" i="44"/>
  <c r="N223"/>
  <c r="AC186"/>
  <c r="AC184"/>
  <c r="I223"/>
  <c r="I209"/>
  <c r="E91" i="24" s="1"/>
  <c r="E98" s="1"/>
  <c r="I244" i="44"/>
  <c r="Z220"/>
  <c r="Z221" s="1"/>
  <c r="Z200"/>
  <c r="Z241"/>
  <c r="Z242" s="1"/>
  <c r="T250"/>
  <c r="T251" s="1"/>
  <c r="T253" s="1"/>
  <c r="T229"/>
  <c r="T230" s="1"/>
  <c r="T232" s="1"/>
  <c r="O200"/>
  <c r="O241"/>
  <c r="O242" s="1"/>
  <c r="O220"/>
  <c r="O221" s="1"/>
  <c r="C90" i="24"/>
  <c r="C97" s="1"/>
  <c r="V241" i="44"/>
  <c r="V242" s="1"/>
  <c r="V220"/>
  <c r="V221" s="1"/>
  <c r="V200"/>
  <c r="N250"/>
  <c r="N229"/>
  <c r="U244"/>
  <c r="U223"/>
  <c r="U209"/>
  <c r="Q91" i="24" s="1"/>
  <c r="Q98" s="1"/>
  <c r="L250" i="44"/>
  <c r="L229"/>
  <c r="Q200"/>
  <c r="Q220"/>
  <c r="Q221" s="1"/>
  <c r="Q241"/>
  <c r="Q242" s="1"/>
  <c r="K200"/>
  <c r="K220"/>
  <c r="K221" s="1"/>
  <c r="K241"/>
  <c r="K242" s="1"/>
  <c r="S227"/>
  <c r="S248"/>
  <c r="AA200"/>
  <c r="AA241"/>
  <c r="AA242" s="1"/>
  <c r="AA220"/>
  <c r="AA221" s="1"/>
  <c r="AA250"/>
  <c r="AA229"/>
  <c r="J229"/>
  <c r="J250"/>
  <c r="O250"/>
  <c r="O229"/>
  <c r="H220"/>
  <c r="H221" s="1"/>
  <c r="H241"/>
  <c r="H242" s="1"/>
  <c r="H200"/>
  <c r="P250"/>
  <c r="P229"/>
  <c r="S178"/>
  <c r="S182" s="1"/>
  <c r="I178"/>
  <c r="I182" s="1"/>
  <c r="J178"/>
  <c r="J182" s="1"/>
  <c r="T184"/>
  <c r="T186"/>
  <c r="R186"/>
  <c r="R184"/>
  <c r="AA244"/>
  <c r="AA209"/>
  <c r="W91" i="24" s="1"/>
  <c r="W98" s="1"/>
  <c r="AA223" i="44"/>
  <c r="Q223"/>
  <c r="Q209"/>
  <c r="M91" i="24" s="1"/>
  <c r="M98" s="1"/>
  <c r="Q244" i="44"/>
  <c r="AD172"/>
  <c r="G208"/>
  <c r="G178"/>
  <c r="X250"/>
  <c r="X229"/>
  <c r="Q250"/>
  <c r="Q229"/>
  <c r="Y244"/>
  <c r="Y223"/>
  <c r="Y209"/>
  <c r="U91" i="24" s="1"/>
  <c r="U98" s="1"/>
  <c r="G221" i="44"/>
  <c r="D204"/>
  <c r="G246"/>
  <c r="D246" s="1"/>
  <c r="F36" i="24" s="1"/>
  <c r="G225" i="44"/>
  <c r="D225" s="1"/>
  <c r="F15" i="24" s="1"/>
  <c r="U186" i="44"/>
  <c r="U184"/>
  <c r="G206"/>
  <c r="V244"/>
  <c r="V223"/>
  <c r="V209"/>
  <c r="R91" i="24" s="1"/>
  <c r="R98" s="1"/>
  <c r="N220" i="44"/>
  <c r="N221" s="1"/>
  <c r="N241"/>
  <c r="N242" s="1"/>
  <c r="N200"/>
  <c r="V229"/>
  <c r="V250"/>
  <c r="P220"/>
  <c r="P221" s="1"/>
  <c r="P200"/>
  <c r="P241"/>
  <c r="P242" s="1"/>
  <c r="Z229"/>
  <c r="Z250"/>
  <c r="AD115"/>
  <c r="G205"/>
  <c r="Y200"/>
  <c r="Y241"/>
  <c r="Y242" s="1"/>
  <c r="Y220"/>
  <c r="Y221" s="1"/>
  <c r="X220"/>
  <c r="X221" s="1"/>
  <c r="X200"/>
  <c r="X241"/>
  <c r="X242" s="1"/>
  <c r="P244"/>
  <c r="P209"/>
  <c r="L91" i="24" s="1"/>
  <c r="L98" s="1"/>
  <c r="P223" i="44"/>
  <c r="U250"/>
  <c r="U229"/>
  <c r="Y229"/>
  <c r="Y250"/>
  <c r="R244"/>
  <c r="R223"/>
  <c r="R209"/>
  <c r="N91" i="24" s="1"/>
  <c r="N98" s="1"/>
  <c r="L200" i="44"/>
  <c r="L241"/>
  <c r="L242" s="1"/>
  <c r="L220"/>
  <c r="L221" s="1"/>
  <c r="K229"/>
  <c r="K250"/>
  <c r="Z244"/>
  <c r="Z251" s="1"/>
  <c r="Z209"/>
  <c r="V91" i="24" s="1"/>
  <c r="V98" s="1"/>
  <c r="Z223" i="44"/>
  <c r="S244"/>
  <c r="S209"/>
  <c r="O91" i="24" s="1"/>
  <c r="O98" s="1"/>
  <c r="S223" i="44"/>
  <c r="Y99" i="24"/>
  <c r="D199" i="44"/>
  <c r="D195" s="1"/>
  <c r="Z126" i="24"/>
  <c r="D75" s="1"/>
  <c r="R227" i="44"/>
  <c r="R248"/>
  <c r="D202"/>
  <c r="G244"/>
  <c r="G223"/>
  <c r="AB184"/>
  <c r="AB186"/>
  <c r="K223"/>
  <c r="K230" s="1"/>
  <c r="K244"/>
  <c r="K209"/>
  <c r="G91" i="24" s="1"/>
  <c r="G98" s="1"/>
  <c r="P227" i="44"/>
  <c r="P248"/>
  <c r="T211"/>
  <c r="T212" s="1"/>
  <c r="P90" i="24"/>
  <c r="P97" s="1"/>
  <c r="P99" s="1"/>
  <c r="H223" i="44"/>
  <c r="H244"/>
  <c r="H251" s="1"/>
  <c r="H209"/>
  <c r="D91" i="24" s="1"/>
  <c r="D98" s="1"/>
  <c r="L244" i="44"/>
  <c r="L223"/>
  <c r="L230" s="1"/>
  <c r="L209"/>
  <c r="H91" i="24" s="1"/>
  <c r="H98" s="1"/>
  <c r="J209" i="44"/>
  <c r="F91" i="24" s="1"/>
  <c r="F98" s="1"/>
  <c r="J244" i="44"/>
  <c r="J251" s="1"/>
  <c r="J223"/>
  <c r="G242"/>
  <c r="R250"/>
  <c r="R229"/>
  <c r="V227"/>
  <c r="V248"/>
  <c r="AA227"/>
  <c r="AA248"/>
  <c r="I250"/>
  <c r="I229"/>
  <c r="I200"/>
  <c r="I220"/>
  <c r="I221" s="1"/>
  <c r="I241"/>
  <c r="I242" s="1"/>
  <c r="J220"/>
  <c r="J221" s="1"/>
  <c r="J241"/>
  <c r="J242" s="1"/>
  <c r="J200"/>
  <c r="X244"/>
  <c r="X223"/>
  <c r="X230" s="1"/>
  <c r="X209"/>
  <c r="T91" i="24" s="1"/>
  <c r="T98" s="1"/>
  <c r="O223" i="44"/>
  <c r="O244"/>
  <c r="O251" s="1"/>
  <c r="O209"/>
  <c r="K91" i="24" s="1"/>
  <c r="K98" s="1"/>
  <c r="AB230" i="44"/>
  <c r="AB232" s="1"/>
  <c r="AC211"/>
  <c r="AC212" s="1"/>
  <c r="X178"/>
  <c r="X182" s="1"/>
  <c r="L178"/>
  <c r="L182" s="1"/>
  <c r="Z184" l="1"/>
  <c r="S230"/>
  <c r="S232" s="1"/>
  <c r="S251"/>
  <c r="S253" s="1"/>
  <c r="L251"/>
  <c r="L253" s="1"/>
  <c r="G209"/>
  <c r="C91" i="24" s="1"/>
  <c r="C98" s="1"/>
  <c r="C99" s="1"/>
  <c r="X102"/>
  <c r="AA184" i="44"/>
  <c r="P186"/>
  <c r="Q186"/>
  <c r="J253"/>
  <c r="O186"/>
  <c r="N186"/>
  <c r="X251"/>
  <c r="X253" s="1"/>
  <c r="H184"/>
  <c r="K184"/>
  <c r="Z230"/>
  <c r="Z232" s="1"/>
  <c r="Y230"/>
  <c r="Y232" s="1"/>
  <c r="AA230"/>
  <c r="AA232" s="1"/>
  <c r="V186"/>
  <c r="Q230"/>
  <c r="Q232" s="1"/>
  <c r="K251"/>
  <c r="K253" s="1"/>
  <c r="L232"/>
  <c r="Y251"/>
  <c r="Y253" s="1"/>
  <c r="Q251"/>
  <c r="Q253" s="1"/>
  <c r="X184"/>
  <c r="X186"/>
  <c r="D223"/>
  <c r="D205"/>
  <c r="G247"/>
  <c r="D247" s="1"/>
  <c r="F37" i="24" s="1"/>
  <c r="G226" i="44"/>
  <c r="D226" s="1"/>
  <c r="F16" i="24" s="1"/>
  <c r="J186" i="44"/>
  <c r="J184"/>
  <c r="Q90" i="24"/>
  <c r="Q97" s="1"/>
  <c r="Q99" s="1"/>
  <c r="U211" i="44"/>
  <c r="U212" s="1"/>
  <c r="L184"/>
  <c r="L186"/>
  <c r="J211"/>
  <c r="J212" s="1"/>
  <c r="F90" i="24"/>
  <c r="F97" s="1"/>
  <c r="F99" s="1"/>
  <c r="D244" i="44"/>
  <c r="Y102" i="24"/>
  <c r="Y105"/>
  <c r="L211" i="44"/>
  <c r="L212" s="1"/>
  <c r="H90" i="24"/>
  <c r="H97" s="1"/>
  <c r="H99" s="1"/>
  <c r="X211" i="44"/>
  <c r="X212" s="1"/>
  <c r="T90" i="24"/>
  <c r="T97" s="1"/>
  <c r="T99" s="1"/>
  <c r="Y211" i="44"/>
  <c r="Y212" s="1"/>
  <c r="U90" i="24"/>
  <c r="U97" s="1"/>
  <c r="U99" s="1"/>
  <c r="D206" i="44"/>
  <c r="G248"/>
  <c r="D248" s="1"/>
  <c r="F38" i="24" s="1"/>
  <c r="G227" i="44"/>
  <c r="D227" s="1"/>
  <c r="F17" i="24" s="1"/>
  <c r="S184" i="44"/>
  <c r="S186"/>
  <c r="H211"/>
  <c r="H212" s="1"/>
  <c r="D90" i="24"/>
  <c r="D97" s="1"/>
  <c r="D99" s="1"/>
  <c r="K211" i="44"/>
  <c r="K212" s="1"/>
  <c r="G90" i="24"/>
  <c r="G97" s="1"/>
  <c r="G99" s="1"/>
  <c r="S211" i="44"/>
  <c r="S212" s="1"/>
  <c r="O90" i="24"/>
  <c r="O97" s="1"/>
  <c r="O99" s="1"/>
  <c r="R230" i="44"/>
  <c r="R232" s="1"/>
  <c r="H253"/>
  <c r="O253"/>
  <c r="Z253"/>
  <c r="N230"/>
  <c r="N232" s="1"/>
  <c r="O230"/>
  <c r="O232" s="1"/>
  <c r="J230"/>
  <c r="J232" s="1"/>
  <c r="H230"/>
  <c r="H232" s="1"/>
  <c r="P230"/>
  <c r="P232" s="1"/>
  <c r="D220"/>
  <c r="AD178"/>
  <c r="AA251"/>
  <c r="AA253" s="1"/>
  <c r="U251"/>
  <c r="U253" s="1"/>
  <c r="I251"/>
  <c r="I253" s="1"/>
  <c r="G182"/>
  <c r="W90" i="24"/>
  <c r="W97" s="1"/>
  <c r="W99" s="1"/>
  <c r="AA211" i="44"/>
  <c r="AA212" s="1"/>
  <c r="Q211"/>
  <c r="Q212" s="1"/>
  <c r="M90" i="24"/>
  <c r="M97" s="1"/>
  <c r="M99" s="1"/>
  <c r="V211" i="44"/>
  <c r="V212" s="1"/>
  <c r="R90" i="24"/>
  <c r="R97" s="1"/>
  <c r="R99" s="1"/>
  <c r="R211" i="44"/>
  <c r="R212" s="1"/>
  <c r="N90" i="24"/>
  <c r="N97" s="1"/>
  <c r="N99" s="1"/>
  <c r="R251" i="44"/>
  <c r="R253" s="1"/>
  <c r="V251"/>
  <c r="V253" s="1"/>
  <c r="K232"/>
  <c r="U230"/>
  <c r="U232" s="1"/>
  <c r="L90" i="24"/>
  <c r="L97" s="1"/>
  <c r="L99" s="1"/>
  <c r="P211" i="44"/>
  <c r="P212" s="1"/>
  <c r="N211"/>
  <c r="N212" s="1"/>
  <c r="J90" i="24"/>
  <c r="J97" s="1"/>
  <c r="J99" s="1"/>
  <c r="I186" i="44"/>
  <c r="I184"/>
  <c r="K90" i="24"/>
  <c r="K97" s="1"/>
  <c r="K99" s="1"/>
  <c r="O211" i="44"/>
  <c r="O212" s="1"/>
  <c r="Z211"/>
  <c r="Z212" s="1"/>
  <c r="V90" i="24"/>
  <c r="V97" s="1"/>
  <c r="V99" s="1"/>
  <c r="D241" i="44"/>
  <c r="P251"/>
  <c r="P253" s="1"/>
  <c r="I230"/>
  <c r="I232" s="1"/>
  <c r="N251"/>
  <c r="N253" s="1"/>
  <c r="I211"/>
  <c r="I212" s="1"/>
  <c r="E90" i="24"/>
  <c r="E97" s="1"/>
  <c r="E99" s="1"/>
  <c r="P102"/>
  <c r="P105"/>
  <c r="G229" i="44"/>
  <c r="D229" s="1"/>
  <c r="F19" i="24" s="1"/>
  <c r="G250" i="44"/>
  <c r="D250" s="1"/>
  <c r="F40" i="24" s="1"/>
  <c r="D208" i="44"/>
  <c r="V230"/>
  <c r="V232" s="1"/>
  <c r="X232"/>
  <c r="Z98" i="24" l="1"/>
  <c r="G211" i="44"/>
  <c r="D252" s="1"/>
  <c r="F42" i="24" s="1"/>
  <c r="B52"/>
  <c r="D212" i="44"/>
  <c r="D201"/>
  <c r="G251"/>
  <c r="G253" s="1"/>
  <c r="D253" s="1"/>
  <c r="F43" i="24" s="1"/>
  <c r="N102"/>
  <c r="N105"/>
  <c r="O105"/>
  <c r="O102"/>
  <c r="J105"/>
  <c r="J102"/>
  <c r="R102"/>
  <c r="R105"/>
  <c r="G184" i="44"/>
  <c r="G186"/>
  <c r="AD182"/>
  <c r="E188"/>
  <c r="D216"/>
  <c r="F6" i="24" s="1"/>
  <c r="F10"/>
  <c r="G102"/>
  <c r="G105"/>
  <c r="Q102"/>
  <c r="Q105"/>
  <c r="E102"/>
  <c r="E105"/>
  <c r="F31"/>
  <c r="D237" i="44"/>
  <c r="F27" i="24" s="1"/>
  <c r="K102"/>
  <c r="K105"/>
  <c r="L105"/>
  <c r="L102"/>
  <c r="T105"/>
  <c r="T102"/>
  <c r="F105"/>
  <c r="F102"/>
  <c r="G230" i="44"/>
  <c r="M105" i="24"/>
  <c r="M102"/>
  <c r="D105"/>
  <c r="D102"/>
  <c r="U105"/>
  <c r="U102"/>
  <c r="H105"/>
  <c r="H102"/>
  <c r="F34"/>
  <c r="D254" i="44"/>
  <c r="F44" i="24" s="1"/>
  <c r="D243" i="44"/>
  <c r="F33" i="24" s="1"/>
  <c r="D233" i="44"/>
  <c r="F23" i="24" s="1"/>
  <c r="D222" i="44"/>
  <c r="F12" i="24" s="1"/>
  <c r="F13"/>
  <c r="Z97"/>
  <c r="W105"/>
  <c r="W102"/>
  <c r="V105"/>
  <c r="V102"/>
  <c r="B51"/>
  <c r="C102"/>
  <c r="C105"/>
  <c r="D211" i="44" l="1"/>
  <c r="B58" i="24"/>
  <c r="Z99"/>
  <c r="G212" i="44"/>
  <c r="D231"/>
  <c r="F21" i="24" s="1"/>
  <c r="B57"/>
  <c r="AD184" i="44"/>
  <c r="E184"/>
  <c r="B54" i="24"/>
  <c r="B55"/>
  <c r="G232" i="44"/>
  <c r="D232" s="1"/>
  <c r="F22" i="24" s="1"/>
  <c r="AD186" i="44"/>
  <c r="E186"/>
</calcChain>
</file>

<file path=xl/sharedStrings.xml><?xml version="1.0" encoding="utf-8"?>
<sst xmlns="http://schemas.openxmlformats.org/spreadsheetml/2006/main" count="3477" uniqueCount="654">
  <si>
    <t>Benefits</t>
  </si>
  <si>
    <t>Costs</t>
  </si>
  <si>
    <t>Reduced emissions (GHG and criteria)</t>
  </si>
  <si>
    <t>capital (bikes and stations)</t>
  </si>
  <si>
    <t>increase transit use</t>
  </si>
  <si>
    <t>fuel savings</t>
  </si>
  <si>
    <t>public health improvement</t>
  </si>
  <si>
    <t>reduced household cost</t>
  </si>
  <si>
    <t>increase traffic safety for cyclists b/c of critical mass</t>
  </si>
  <si>
    <t>increased access</t>
  </si>
  <si>
    <t>Metrorail core relief</t>
  </si>
  <si>
    <t>congestion relief</t>
  </si>
  <si>
    <t xml:space="preserve">Percent of those bicycling or walking who do not meet activity recommendations </t>
  </si>
  <si>
    <t xml:space="preserve">Health care savings of one minute increase of daily population average physical activity ($/minute) </t>
  </si>
  <si>
    <t xml:space="preserve"> Motor Gasoline Price (1987 $ per million Btu)</t>
  </si>
  <si>
    <t>% increase</t>
  </si>
  <si>
    <t>$ increase</t>
  </si>
  <si>
    <t>Forecast Price</t>
  </si>
  <si>
    <t xml:space="preserve">Year 1 </t>
  </si>
  <si>
    <t xml:space="preserve">Year 2 </t>
  </si>
  <si>
    <t>Year 3</t>
  </si>
  <si>
    <t>Year 4</t>
  </si>
  <si>
    <t>Year 5</t>
  </si>
  <si>
    <t>Year 6</t>
  </si>
  <si>
    <t>Year 7</t>
  </si>
  <si>
    <t>Year 8</t>
  </si>
  <si>
    <t>Year 9</t>
  </si>
  <si>
    <t>Year 10</t>
  </si>
  <si>
    <t>Year 11</t>
  </si>
  <si>
    <t>Year 12</t>
  </si>
  <si>
    <t>Year 13</t>
  </si>
  <si>
    <t>Year 14</t>
  </si>
  <si>
    <t>Year 15</t>
  </si>
  <si>
    <t>Year 16</t>
  </si>
  <si>
    <t>Year 17</t>
  </si>
  <si>
    <t>Year 18</t>
  </si>
  <si>
    <t>Year 19</t>
  </si>
  <si>
    <t>FUEL PRICES</t>
  </si>
  <si>
    <t>FUEL ECONOMY</t>
  </si>
  <si>
    <t>ACCIDENT COSTS</t>
  </si>
  <si>
    <t>FAT</t>
  </si>
  <si>
    <t>INJ</t>
  </si>
  <si>
    <t>Emission rate</t>
  </si>
  <si>
    <t xml:space="preserve">VOC </t>
  </si>
  <si>
    <t>Category</t>
  </si>
  <si>
    <t>Median</t>
  </si>
  <si>
    <t>Lower</t>
  </si>
  <si>
    <t>Upper</t>
  </si>
  <si>
    <t>In Year</t>
  </si>
  <si>
    <t>Source</t>
  </si>
  <si>
    <t>Value of Time (per bus rider)</t>
  </si>
  <si>
    <t>VOCCost</t>
  </si>
  <si>
    <t>NOXCost</t>
  </si>
  <si>
    <t>PM25Cost</t>
  </si>
  <si>
    <t>CO2Cost</t>
  </si>
  <si>
    <t>Value of Time for Low Income People</t>
  </si>
  <si>
    <t>60% of Auto Time Value</t>
  </si>
  <si>
    <t>Avg. Parking Cost, $ per day</t>
  </si>
  <si>
    <t>NHTSA</t>
  </si>
  <si>
    <t>daily ridership</t>
  </si>
  <si>
    <t>Source:</t>
  </si>
  <si>
    <t>Analysis Of Potential Transportation Emissions Reductions Measures (TERMs) Under Consideration For The Conformity Of The 2009 CLRP &amp; FY 2010-2015 TIP; June 5, 2009</t>
  </si>
  <si>
    <t xml:space="preserve">Ozone NOx </t>
  </si>
  <si>
    <t xml:space="preserve">Cold Start </t>
  </si>
  <si>
    <t>Cold Start (g/trip)</t>
  </si>
  <si>
    <t xml:space="preserve">Running </t>
  </si>
  <si>
    <t>Running (g/m)</t>
  </si>
  <si>
    <t xml:space="preserve">Cold start </t>
  </si>
  <si>
    <t>Hotsoak (g/trip)</t>
  </si>
  <si>
    <t xml:space="preserve">PM2.5 </t>
  </si>
  <si>
    <t xml:space="preserve">PM2.5 NOx Precursor </t>
  </si>
  <si>
    <t>Running</t>
  </si>
  <si>
    <t>"Regional average emissions factors corresponding to average speed have been used for the emissions estimation. For the Washington DC region, 40 mph average speed is used for commute category TERM running emissions rate while 41 mph speed is considered for traffic stream TERMs."</t>
  </si>
  <si>
    <r>
      <t>CO</t>
    </r>
    <r>
      <rPr>
        <b/>
        <vertAlign val="subscript"/>
        <sz val="10"/>
        <color indexed="10"/>
        <rFont val="Arial"/>
        <family val="2"/>
      </rPr>
      <t>2</t>
    </r>
    <r>
      <rPr>
        <b/>
        <sz val="10"/>
        <color indexed="10"/>
        <rFont val="Arial"/>
        <family val="2"/>
      </rPr>
      <t xml:space="preserve"> </t>
    </r>
  </si>
  <si>
    <t>The Case for Increased Federal Investment in Bicycling and Walking--Rails to Trails 2008</t>
  </si>
  <si>
    <t>WMATA</t>
  </si>
  <si>
    <t>Auto Operating Cost, total, per mile</t>
  </si>
  <si>
    <t xml:space="preserve">Yearly membership cost </t>
  </si>
  <si>
    <t>Day pass cost</t>
  </si>
  <si>
    <t>Capital cost</t>
  </si>
  <si>
    <t>Memberships (10 members per bike)</t>
  </si>
  <si>
    <t>operations (includes maintenance and theft/vandalism rate of 8%)</t>
  </si>
  <si>
    <t>COSTS</t>
  </si>
  <si>
    <t>Total yearly ridership</t>
  </si>
  <si>
    <t>Bike hours traveled, per trip</t>
  </si>
  <si>
    <t># of trips, per day</t>
  </si>
  <si>
    <t>BMT, per day</t>
  </si>
  <si>
    <t>BENEFITS</t>
  </si>
  <si>
    <t>ENVIRONMENTAL BENEFITS</t>
  </si>
  <si>
    <t>Average bike trip length, miles</t>
  </si>
  <si>
    <t>Total user cost per mile, avg member/day pass</t>
  </si>
  <si>
    <t>PUBLIC HEALTH BENEFITS</t>
  </si>
  <si>
    <t xml:space="preserve">% bicycle riders as new transit riders </t>
  </si>
  <si>
    <t>Bus/rail trips reduced per day</t>
  </si>
  <si>
    <t>INCREASED ACCESS BENEFITS</t>
  </si>
  <si>
    <t>Trips shifted from auto</t>
  </si>
  <si>
    <t>Trips shifted from transit</t>
  </si>
  <si>
    <t>VOC, Tons of pollutants per day</t>
  </si>
  <si>
    <t>NOX, Tons of pollutants per day</t>
  </si>
  <si>
    <t>PM, Tons of pollutants per day</t>
  </si>
  <si>
    <t>CO2, Tons of pollutants per day</t>
  </si>
  <si>
    <t xml:space="preserve">% of trips not made before </t>
  </si>
  <si>
    <t>% of riders shifted from walk to bike</t>
  </si>
  <si>
    <t>Average walk speed, mph</t>
  </si>
  <si>
    <t>Average biking speed, mph</t>
  </si>
  <si>
    <t>Walk hours traveled, per trip</t>
  </si>
  <si>
    <t>Average auto speed, mph</t>
  </si>
  <si>
    <t>Average transit speed, mph</t>
  </si>
  <si>
    <t># of riders per bike per day</t>
  </si>
  <si>
    <t>Time cost average, per trip</t>
  </si>
  <si>
    <t>User cost average, per trip</t>
  </si>
  <si>
    <t>Average cost per mile</t>
  </si>
  <si>
    <t xml:space="preserve">WALK  </t>
  </si>
  <si>
    <t xml:space="preserve">TRANSIT  </t>
  </si>
  <si>
    <t>Average fuel economy for region, light-duty mpg</t>
  </si>
  <si>
    <t>Emission reductions, $/day</t>
  </si>
  <si>
    <t>Cost per ton</t>
  </si>
  <si>
    <r>
      <t>PM</t>
    </r>
    <r>
      <rPr>
        <vertAlign val="subscript"/>
        <sz val="9"/>
        <rFont val="Arial"/>
        <family val="2"/>
      </rPr>
      <t>2.5</t>
    </r>
  </si>
  <si>
    <r>
      <t>CO</t>
    </r>
    <r>
      <rPr>
        <vertAlign val="subscript"/>
        <sz val="9"/>
        <rFont val="Arial"/>
        <family val="2"/>
      </rPr>
      <t>2</t>
    </r>
  </si>
  <si>
    <r>
      <t>NO</t>
    </r>
    <r>
      <rPr>
        <vertAlign val="subscript"/>
        <sz val="9"/>
        <rFont val="Arial"/>
        <family val="2"/>
      </rPr>
      <t>X</t>
    </r>
  </si>
  <si>
    <t>Value of Time (bike/ped)</t>
  </si>
  <si>
    <t>Congestion cost from additional automobile, per VMT</t>
  </si>
  <si>
    <t>Accident cost from additional automobile, per VMT</t>
  </si>
  <si>
    <t>Year 20</t>
  </si>
  <si>
    <t xml:space="preserve">
North America CBD Parking Rate Survey-2009; Colliers International</t>
  </si>
  <si>
    <t>Walk</t>
  </si>
  <si>
    <t>Car/Motorcycle</t>
  </si>
  <si>
    <t>Taxi</t>
  </si>
  <si>
    <t>HDR</t>
  </si>
  <si>
    <t>Value of time, $/hour</t>
  </si>
  <si>
    <t>Value of time, auto driver, $/hour</t>
  </si>
  <si>
    <t>TRAVEL TIME COST/SAVINGS</t>
  </si>
  <si>
    <t>Percent of those bicycling who do not meet activity recommendations</t>
  </si>
  <si>
    <t>Time cost average, per 1.5 mile trip</t>
  </si>
  <si>
    <t xml:space="preserve">Average replaced auto trip length (same as average bike trip), miles </t>
  </si>
  <si>
    <t xml:space="preserve">Average transit trip length replaced, miles </t>
  </si>
  <si>
    <t>Percent of transit trips, bus</t>
  </si>
  <si>
    <t>Percent of transit trips, rail</t>
  </si>
  <si>
    <t>Average rail speed, mph</t>
  </si>
  <si>
    <t>Average bus speed, mph</t>
  </si>
  <si>
    <t>2007 CLRP, travel demand model output</t>
  </si>
  <si>
    <t>WMATA; Includes smartrip discount: http://www.wmata.com/about_metro/news/PressReleaseDetail.cfm?ReleaseID=2555</t>
  </si>
  <si>
    <t>Avg Metrorail fare, 1.5 mile trip</t>
  </si>
  <si>
    <t>% of riders shifted from taxi to bike</t>
  </si>
  <si>
    <t>% of riders shifted from personal bike to bike share</t>
  </si>
  <si>
    <t>VMT reduced per day (auto+taxi)</t>
  </si>
  <si>
    <t>% of riders shifted from auto to bike</t>
  </si>
  <si>
    <t>% of riders shifted from bus/rail to bike</t>
  </si>
  <si>
    <t>Trips shifted from personal bike</t>
  </si>
  <si>
    <t>USER COST/SAVINGS</t>
  </si>
  <si>
    <t>Avg. Fare - Taxi (DC, 1.5 mile trip), $</t>
  </si>
  <si>
    <t>Metrobus fare</t>
  </si>
  <si>
    <t>Trips not taken before</t>
  </si>
  <si>
    <t>Value of time, auto passenger, $/hour</t>
  </si>
  <si>
    <t xml:space="preserve">Average bus trip length replaced, miles </t>
  </si>
  <si>
    <t>Total</t>
  </si>
  <si>
    <t>Original Year</t>
  </si>
  <si>
    <t>Original Value</t>
  </si>
  <si>
    <t>Value of Time (waiting, walk access, etc)</t>
  </si>
  <si>
    <t>Value of waiting time, $/hour</t>
  </si>
  <si>
    <t>Peak period, hours per day</t>
  </si>
  <si>
    <t>Accident cost, per person affected</t>
  </si>
  <si>
    <t>Minor</t>
  </si>
  <si>
    <t>Moderate</t>
  </si>
  <si>
    <t>Serious</t>
  </si>
  <si>
    <t>Severe</t>
  </si>
  <si>
    <t>Critical</t>
  </si>
  <si>
    <t>% peak period trips, assumed</t>
  </si>
  <si>
    <t>Value of time, $/hour, no waiting included</t>
  </si>
  <si>
    <t>% of riders using transit also</t>
  </si>
  <si>
    <t>% of riders with increased access to transit</t>
  </si>
  <si>
    <t>Population with increased access to rail transit</t>
  </si>
  <si>
    <t>Employment with increased access to rail transit</t>
  </si>
  <si>
    <t>Pop with bike-sharing, access to rail transit</t>
  </si>
  <si>
    <t>Emp with bike-sharing, access to rail transit</t>
  </si>
  <si>
    <t>% of new transit trips coming from auto</t>
  </si>
  <si>
    <t>Average transit trip length, local route, WMATA</t>
  </si>
  <si>
    <t>Health care cost increase for people completing 30 minutes of daily exercise vs those that don't ($/day)</t>
  </si>
  <si>
    <t>Discounted 3%</t>
  </si>
  <si>
    <t>Discounted 7%</t>
  </si>
  <si>
    <t>Discount rate, 3%</t>
  </si>
  <si>
    <t>Discount rate, 7%</t>
  </si>
  <si>
    <t>Net Present Value</t>
  </si>
  <si>
    <t>Rate of Return</t>
  </si>
  <si>
    <t>Benefit-Cost Ratio</t>
  </si>
  <si>
    <t>IRR</t>
  </si>
  <si>
    <t>Average trip length, miles</t>
  </si>
  <si>
    <t>Based on average bike trip length</t>
  </si>
  <si>
    <t>Status Report on the Bus Systems in the National Capital Region: http://www.mwcog.org/store/item.asp?PUBLICATION_ID=328</t>
  </si>
  <si>
    <t>WMATA Metro Facts: http://www.wmata.com/about_metro/docs/metrofacts.pdf</t>
  </si>
  <si>
    <t>WMATA PCN Presentation: http://www.wmata.com/about_metro/riders_advisory_council/minutes/docs/Bus%20Priority%20Corridor%20Network%20Presentation.pdf</t>
  </si>
  <si>
    <t>Fatality</t>
  </si>
  <si>
    <t>District of Columbia Taxicab Commission--based on per mile fares</t>
  </si>
  <si>
    <t>The Case for Increased Federal Investment in Bicycling and Walking; Rails to Trails 2008</t>
  </si>
  <si>
    <t xml:space="preserve">The Case for Increased Federal Investment in Bicycling and Walking; Rails to Trails 2008  </t>
  </si>
  <si>
    <t># of bikes, total</t>
  </si>
  <si>
    <t>Capital</t>
  </si>
  <si>
    <t>Operating</t>
  </si>
  <si>
    <t>Accident</t>
  </si>
  <si>
    <t>Increased Access</t>
  </si>
  <si>
    <t>Congestion Reduction</t>
  </si>
  <si>
    <t>Emissions Reduction</t>
  </si>
  <si>
    <t>Accident Reduction</t>
  </si>
  <si>
    <t>New System Only</t>
  </si>
  <si>
    <t>% riders, day pass</t>
  </si>
  <si>
    <t>% mode shift from SOV</t>
  </si>
  <si>
    <t>% previous transit riders (all assumed to have biked previously)</t>
  </si>
  <si>
    <t xml:space="preserve">Average replaced auto trip length (same as average transit trip), miles </t>
  </si>
  <si>
    <t>Metrorail fare, per trip, peak</t>
  </si>
  <si>
    <t>Metrorail fare, per trip, off peak</t>
  </si>
  <si>
    <t>Avg Metrorail fare, 6.5 mile trip</t>
  </si>
  <si>
    <t>Value of Time (local auto)</t>
  </si>
  <si>
    <t>Value of Time (intercity auto)</t>
  </si>
  <si>
    <t xml:space="preserve">Transit hours traveled, per trip + 5 minute waiting </t>
  </si>
  <si>
    <t>Vehicle hours traveled, per trip + 5 minute parking penalty</t>
  </si>
  <si>
    <t>Vehicle hours traveled, per trip + 5 minute parking/out-of-vehicle penalty</t>
  </si>
  <si>
    <t>% new bike-to-transit riders</t>
  </si>
  <si>
    <t>Day pass riders (84 per bike)</t>
  </si>
  <si>
    <t>Project Costs</t>
  </si>
  <si>
    <t>Users</t>
  </si>
  <si>
    <t>Arrival Mode for Rail Boarding / Entry</t>
  </si>
  <si>
    <t>Bus</t>
  </si>
  <si>
    <t>Bicycle</t>
  </si>
  <si>
    <t xml:space="preserve">Departing Mode for Rail Alighting / Exiting </t>
  </si>
  <si>
    <t>Other Users</t>
  </si>
  <si>
    <t>Pedestrian</t>
  </si>
  <si>
    <t>Other (Taxi, Motorcycle, etc.)</t>
  </si>
  <si>
    <t>Car - Park</t>
  </si>
  <si>
    <t>Car - Drop-off</t>
  </si>
  <si>
    <t>Basis</t>
  </si>
  <si>
    <t>Non-Users</t>
  </si>
  <si>
    <t>Base Case</t>
  </si>
  <si>
    <t>TIGER</t>
  </si>
  <si>
    <t>Special information</t>
  </si>
  <si>
    <t>Access improvements that benefit pedestrians, including sidewalks, road crossings, pedestrian underpass</t>
  </si>
  <si>
    <t>Metrorail boardings and alighting mode shares, other pedestrian surveys, land use density</t>
  </si>
  <si>
    <t xml:space="preserve">Bicyclists make use of the same features as pedestrians, as well as bike-sharing. </t>
  </si>
  <si>
    <t>Metrorail boardings and alighting mode shares, other bicyclist surveys, land use density</t>
  </si>
  <si>
    <t>Current surveys and predicted growth rates</t>
  </si>
  <si>
    <t xml:space="preserve">Predicted users based on infrastructure funded through TIGER grant and complementary projects. </t>
  </si>
  <si>
    <t>Based on improvements funded by project.</t>
  </si>
  <si>
    <t>Current and predicted (annual growth rate) users based on current infrastructure</t>
  </si>
  <si>
    <t>Year 21</t>
  </si>
  <si>
    <t>Year 22</t>
  </si>
  <si>
    <t>Year 23</t>
  </si>
  <si>
    <t>Year 24</t>
  </si>
  <si>
    <t>Annual MetroRail Ridership, August of 2010 to July 2011</t>
  </si>
  <si>
    <t>Forest Glen</t>
  </si>
  <si>
    <t>Mezzanine</t>
  </si>
  <si>
    <t>Daily Ent</t>
  </si>
  <si>
    <t>Daily Ext</t>
  </si>
  <si>
    <t>Flow Summary_Mezzanine Level</t>
  </si>
  <si>
    <t>Daily users (Entry + Exit)</t>
  </si>
  <si>
    <t>WMATA STATION ACCESS &amp; CAPACITY STUDY</t>
  </si>
  <si>
    <t>Appendix B-E: Summary of Ridership Forecasts</t>
  </si>
  <si>
    <t xml:space="preserve"> FOREST GLEN</t>
  </si>
  <si>
    <t xml:space="preserve">Total </t>
  </si>
  <si>
    <t>ALEXANDRIA DASH</t>
  </si>
  <si>
    <t>AMTRAK, MARC OR VRE</t>
  </si>
  <si>
    <t>ARLINGTON TRANSIT (ART)</t>
  </si>
  <si>
    <t xml:space="preserve">Dropped off </t>
  </si>
  <si>
    <t>BICYCLE</t>
  </si>
  <si>
    <t>DC CIRCULATOR</t>
  </si>
  <si>
    <t>DRIVE A CAR</t>
  </si>
  <si>
    <t>FAIRFAX CITY CUE</t>
  </si>
  <si>
    <t>FAIRFAX CONNECTOR</t>
  </si>
  <si>
    <t>METROBUS</t>
  </si>
  <si>
    <t>MONTGOMERY RIDE ON</t>
  </si>
  <si>
    <t xml:space="preserve">OTHER BUS </t>
  </si>
  <si>
    <t>PRINCE GEORGE'S THE BUS</t>
  </si>
  <si>
    <t>RIDE WITH SOMEONE WHO PARKED</t>
  </si>
  <si>
    <t>TAXI</t>
  </si>
  <si>
    <t>WALK</t>
  </si>
  <si>
    <t>Metrorail Mode of Access Study 2007 (All Day Access Absolute)</t>
  </si>
  <si>
    <t>Station Name</t>
  </si>
  <si>
    <t>User Data</t>
  </si>
  <si>
    <t xml:space="preserve">Current </t>
  </si>
  <si>
    <t>Annual Growth / Future Year</t>
  </si>
  <si>
    <t>TIGER Changes</t>
  </si>
  <si>
    <t>Results are for VRE riders based on 2010 customer survey</t>
  </si>
  <si>
    <t>Broad Run</t>
  </si>
  <si>
    <t>Rippon</t>
  </si>
  <si>
    <t>Woodbridge</t>
  </si>
  <si>
    <t>Rolling Rd</t>
  </si>
  <si>
    <t>Lorton</t>
  </si>
  <si>
    <t>Franconia-Springfield</t>
  </si>
  <si>
    <t>Manassas</t>
  </si>
  <si>
    <t>Manassas Park</t>
  </si>
  <si>
    <t>All Stations</t>
  </si>
  <si>
    <t>Other</t>
  </si>
  <si>
    <t>All stations</t>
  </si>
  <si>
    <t>BR</t>
  </si>
  <si>
    <t>RIP</t>
  </si>
  <si>
    <t>WOOD</t>
  </si>
  <si>
    <t>ROLL</t>
  </si>
  <si>
    <t>LOR</t>
  </si>
  <si>
    <t>F-S</t>
  </si>
  <si>
    <t>MAN</t>
  </si>
  <si>
    <t>MP</t>
  </si>
  <si>
    <t>Metrorail</t>
  </si>
  <si>
    <t>N/A</t>
  </si>
  <si>
    <t>Purpose of Trip</t>
  </si>
  <si>
    <t xml:space="preserve">Work </t>
  </si>
  <si>
    <t>Rail Boarding / Entry</t>
  </si>
  <si>
    <t xml:space="preserve">Rail Alighting / Exiting </t>
  </si>
  <si>
    <t>Not available</t>
  </si>
  <si>
    <t>HH Income</t>
  </si>
  <si>
    <t>&lt;$25,000</t>
  </si>
  <si>
    <t>$25,000-50,000</t>
  </si>
  <si>
    <t>$50,000-75,000</t>
  </si>
  <si>
    <t>$75,000-100,000</t>
  </si>
  <si>
    <t>$100,000-125,000</t>
  </si>
  <si>
    <t>$125,000-150,000</t>
  </si>
  <si>
    <t>$150,000-175,000</t>
  </si>
  <si>
    <t>&gt;$175,000</t>
  </si>
  <si>
    <t>No response</t>
  </si>
  <si>
    <t>FACILITY</t>
  </si>
  <si>
    <t>LOCATION</t>
  </si>
  <si>
    <t>LINK</t>
  </si>
  <si>
    <t>2011 VOLUME</t>
  </si>
  <si>
    <t>2030 VOLUME</t>
  </si>
  <si>
    <t>2040 VOLUME</t>
  </si>
  <si>
    <t>Army Navy Dr.</t>
  </si>
  <si>
    <t>east of Ridge Rd.</t>
  </si>
  <si>
    <t>5207-5237</t>
  </si>
  <si>
    <t>west of Eads Rd.</t>
  </si>
  <si>
    <t>5255-5264</t>
  </si>
  <si>
    <t>Ager Rd.</t>
  </si>
  <si>
    <t>south of EastWest Hwy.</t>
  </si>
  <si>
    <t>4028-4199</t>
  </si>
  <si>
    <t>north of Queens Chapel Rd.</t>
  </si>
  <si>
    <t>4027-4042</t>
  </si>
  <si>
    <t>SOURCES:</t>
  </si>
  <si>
    <t>2011: N:\model_app\CGV2_2_Conformity2011\2011_Conf\I6HWY.NET</t>
  </si>
  <si>
    <t>2030: N:\model_app\CGV2_2_Conformity2011_VDOT\2030_Conf\I6HWY.NET</t>
  </si>
  <si>
    <t>2040: N:\model_app\CGV2_2_Conformity2011_VDOT\2040_Conf\I6HWY.NET</t>
  </si>
  <si>
    <t>NOTES:  Army Navy Dr. volumes decrease in 2040 due to drop in area type on the facility.</t>
  </si>
  <si>
    <t>2010 CLRP DAILY TRAFFIC VOLUMES</t>
  </si>
  <si>
    <t>(v2.2 travel demand model, 2191 TAZ)</t>
  </si>
  <si>
    <t>2011 to 2030</t>
  </si>
  <si>
    <t>2030 to 2040</t>
  </si>
  <si>
    <t>Annualized</t>
  </si>
  <si>
    <t>Change</t>
  </si>
  <si>
    <t>LIVABILITY</t>
  </si>
  <si>
    <t>ENVIRONMENTAL SUSTAINABILITY</t>
  </si>
  <si>
    <t>SAFETY</t>
  </si>
  <si>
    <t>ECONOMIC COMPETITIVENESS</t>
  </si>
  <si>
    <t xml:space="preserve">TOTAL </t>
  </si>
  <si>
    <t>STATE OF GOOD REPAIR</t>
  </si>
  <si>
    <t>New Construction for this project</t>
  </si>
  <si>
    <t>Current User</t>
  </si>
  <si>
    <t>PEDESTRIAN</t>
  </si>
  <si>
    <t>MOBILITY DEVICE</t>
  </si>
  <si>
    <t>ROAD</t>
  </si>
  <si>
    <t>Construction Impact</t>
  </si>
  <si>
    <t>Long-Term Impact</t>
  </si>
  <si>
    <t>Mobility Device User</t>
  </si>
  <si>
    <t>Road Traffic</t>
  </si>
  <si>
    <t>Traffic surveys, regional model, transit reidership info</t>
  </si>
  <si>
    <t>*Estimated usage based on AASHTO Pedestrian Facility Design Guide, Exhibit 3‐39, Pedestrian Use of Bridges/Tunnels Based on Convenience</t>
  </si>
  <si>
    <t>Average Signal Delay: 71s</t>
  </si>
  <si>
    <t>Average Elevator Delay: 35s (per elevator boarding)</t>
  </si>
  <si>
    <t>A pedestrian bridge would reduce total pedestrian travel time to the Metro Station (one‐way) to 73% of no‐build travel time. Based on AASHTO's</t>
  </si>
  <si>
    <t>Pedestrian Facility Design Guide, this would correspond with a 90% utilization rate.</t>
  </si>
  <si>
    <t>A pedestrian tunnel would reduce total pedestrian travel time to the Metro Station (one‐way) to 43% of no‐build travel time. Based on AASHTO's</t>
  </si>
  <si>
    <t>Pedestrian Facility Design Guide, this would correspond with a 100% utilization rate.</t>
  </si>
  <si>
    <t>Tbridge/ Tground =0.73</t>
  </si>
  <si>
    <t>SE to SW Metro At‐Grade</t>
  </si>
  <si>
    <t xml:space="preserve">No‐Build </t>
  </si>
  <si>
    <t xml:space="preserve">SE to SW Metro via Bridge </t>
  </si>
  <si>
    <t xml:space="preserve">Bridge </t>
  </si>
  <si>
    <t>SE to SW Metro via Tunnel</t>
  </si>
  <si>
    <t xml:space="preserve">Tunnel </t>
  </si>
  <si>
    <t>Estimated Usage*</t>
  </si>
  <si>
    <t xml:space="preserve">Total Time (s) </t>
  </si>
  <si>
    <t xml:space="preserve"> Additional Time (s) </t>
  </si>
  <si>
    <t>Walk Time (s) @ 4.5 fps</t>
  </si>
  <si>
    <t xml:space="preserve">Movement </t>
  </si>
  <si>
    <t xml:space="preserve">Distances (LF) </t>
  </si>
  <si>
    <t>Ttunnel/ Tground =0.43</t>
  </si>
  <si>
    <t>Forest Glen Metro Station Pedestrian Access</t>
  </si>
  <si>
    <t>Bridge and Tunnel Alternative Delay Evaluation</t>
  </si>
  <si>
    <t>Factor</t>
  </si>
  <si>
    <t>Travel time savings (seconds)</t>
  </si>
  <si>
    <t>Value of time, auto, $/hour</t>
  </si>
  <si>
    <t>Value of time, transit, $/hour</t>
  </si>
  <si>
    <t>Transit costs, $/day</t>
  </si>
  <si>
    <t>travel time, auto</t>
  </si>
  <si>
    <t>Construction</t>
  </si>
  <si>
    <t>O &amp; M</t>
  </si>
  <si>
    <t>USERS and NON-USERS</t>
  </si>
  <si>
    <t>Mode Access Surveys</t>
  </si>
  <si>
    <t>Pedestrian Volumes</t>
  </si>
  <si>
    <t>Weekday Volume</t>
  </si>
  <si>
    <t>Percent using tunnel</t>
  </si>
  <si>
    <t>Effective weekdays per year</t>
  </si>
  <si>
    <t>New User (mode shift)</t>
  </si>
  <si>
    <t>BIKESHARE</t>
  </si>
  <si>
    <t>Bicycle costs, $/day</t>
  </si>
  <si>
    <t>New User</t>
  </si>
  <si>
    <t>Time cost/savings, auto to transit+ped, hours/day</t>
  </si>
  <si>
    <t>Time cost/savings, no trip taken to transit+ped, hours/day</t>
  </si>
  <si>
    <t>Trips not taken before (none to transit+ped)</t>
  </si>
  <si>
    <t>Value of time, ped, $/hour</t>
  </si>
  <si>
    <t>travel time, transit</t>
  </si>
  <si>
    <t>travel time, ped</t>
  </si>
  <si>
    <t xml:space="preserve">For Forest Glen project accessing Holy Cross Hospital.  Negligible number for other proposed projects. </t>
  </si>
  <si>
    <t xml:space="preserve">Vehicles affected by improvements, including new or improved crossings and medians, changes in traffic signals and turning movements. Includes automobiles, trucks, buses, and all others. </t>
  </si>
  <si>
    <t xml:space="preserve">New User </t>
  </si>
  <si>
    <t>Mode shift (auto to transit+ped)</t>
  </si>
  <si>
    <t>Mode shift (auto to transit+bike)</t>
  </si>
  <si>
    <t>Trips not taken before (none to transit+bike)</t>
  </si>
  <si>
    <t>Travel time savings (hour)</t>
  </si>
  <si>
    <t>Total time cost/savings</t>
  </si>
  <si>
    <t>Total user cost/savings</t>
  </si>
  <si>
    <t>Trip shifted from auto to transit+ped</t>
  </si>
  <si>
    <t>Value of time, mob device, $/hour</t>
  </si>
  <si>
    <t>Trip shifted from auto to transit+bike</t>
  </si>
  <si>
    <t>Mode shift (auto to transit+mob device)</t>
  </si>
  <si>
    <t>Trips not taken before (none to transit+mob device)</t>
  </si>
  <si>
    <t>TRAVEL IMPACTS</t>
  </si>
  <si>
    <t>Trips shifted from walking</t>
  </si>
  <si>
    <t>Value of time, bike, $/hour</t>
  </si>
  <si>
    <t>travel time, bike</t>
  </si>
  <si>
    <t>Time cost/savings, auto to transit+bike, hours/day</t>
  </si>
  <si>
    <t>User cost/savings, auto to transit+bike, $/day</t>
  </si>
  <si>
    <t>Trips shifted from auto to transit+bikeshare</t>
  </si>
  <si>
    <t>Time cost/savings, no trip taken to transit+bike, hours/day</t>
  </si>
  <si>
    <t>User cost/savings, no trip taken to transit+bike, hours/day</t>
  </si>
  <si>
    <t>Time cost/savings, no trip taken to bikeshare, hours/day</t>
  </si>
  <si>
    <t>Auto costs, $/day</t>
  </si>
  <si>
    <t>travel time, mob device</t>
  </si>
  <si>
    <t>Time cost/savings, no trip taken to transit+mob device, hours/day</t>
  </si>
  <si>
    <t>Auto</t>
  </si>
  <si>
    <t>Personal Bike</t>
  </si>
  <si>
    <t>Mobility Device</t>
  </si>
  <si>
    <t>Bikesharing</t>
  </si>
  <si>
    <t># stations</t>
  </si>
  <si>
    <t>Local Trip</t>
  </si>
  <si>
    <t>Commute Trip</t>
  </si>
  <si>
    <t>Bikes</t>
  </si>
  <si>
    <t>Days</t>
  </si>
  <si>
    <t>Trips per bike per day</t>
  </si>
  <si>
    <t>ROAD NON-USER</t>
  </si>
  <si>
    <t>Operating Profit ($0.30 per trip)</t>
  </si>
  <si>
    <t>travel time, bikeshare</t>
  </si>
  <si>
    <t>Commute</t>
  </si>
  <si>
    <t>Local</t>
  </si>
  <si>
    <t>VEHICLE OPERATING COSTS</t>
  </si>
  <si>
    <t>Cost of Parking (50%)</t>
  </si>
  <si>
    <t>DR Transportation</t>
  </si>
  <si>
    <t>DR average cost per trip</t>
  </si>
  <si>
    <t>Value of time, bikeshare, $/hour</t>
  </si>
  <si>
    <t>Time cost/savings, no trip taken to transit+bikeshare, hours/day</t>
  </si>
  <si>
    <t>travel time, local auto</t>
  </si>
  <si>
    <t>travel time, commute transit</t>
  </si>
  <si>
    <t>travel time, local bikeshare</t>
  </si>
  <si>
    <t>Trips not taken before (none to transit+bikeshare)</t>
  </si>
  <si>
    <t>Trips shifted from none to transit+bikeshare</t>
  </si>
  <si>
    <t>Operating Cost, $ per trip</t>
  </si>
  <si>
    <t>Auto costs, $/trip</t>
  </si>
  <si>
    <t>Transit costs, $/trip</t>
  </si>
  <si>
    <t>Peronsal bicycle costs, $/trip</t>
  </si>
  <si>
    <t>Ped costs, $/trip</t>
  </si>
  <si>
    <t>Bikeshare costs, $/trip</t>
  </si>
  <si>
    <t>User cost/savings, auto to bikeshare, $/trip</t>
  </si>
  <si>
    <t>User cost/savings, transit to bikeshare, $/trip</t>
  </si>
  <si>
    <t>User cost/savings, personal bike to bikeshare, $/trip</t>
  </si>
  <si>
    <t>User cost/savings, ped to bikeshare, $/trip</t>
  </si>
  <si>
    <t>User costs/savings, no trip taken to bikeshare, $/trip</t>
  </si>
  <si>
    <t>User cost/savings, auto to transit+bikeshare, $/trip</t>
  </si>
  <si>
    <t>User cost/savings, no trip taken to transit+bikeshare, $/trip</t>
  </si>
  <si>
    <t>Auto costs/savings, $/trip</t>
  </si>
  <si>
    <t>Ped costs/savings, $/trip</t>
  </si>
  <si>
    <t>User cost/savings, auto to transit+ped, $/trip</t>
  </si>
  <si>
    <t>User cost/savings, no trip taken to transit+ped, $/trip</t>
  </si>
  <si>
    <t>Mob Device</t>
  </si>
  <si>
    <t>Average bike speed, mph</t>
  </si>
  <si>
    <t>Average mob device speed, mph</t>
  </si>
  <si>
    <t>Mob device hours traveled, per trip</t>
  </si>
  <si>
    <t>Time cost/savings, auto to transit+mob device hours/day</t>
  </si>
  <si>
    <t>Mob device costs, $/trip</t>
  </si>
  <si>
    <t>User cost/savings, auto to transit+mob device, $/trip</t>
  </si>
  <si>
    <t>User cost/savings, no trip taken to transit+mob device, $/trip</t>
  </si>
  <si>
    <t>Consumer Surplus</t>
  </si>
  <si>
    <t>Transit User Cost for Mobility Device Users, per trip</t>
  </si>
  <si>
    <t>Vehicle hours traveled, per trip + 15 minute schedule time</t>
  </si>
  <si>
    <t>Total Accessibility Benefits</t>
  </si>
  <si>
    <t>Rail transit trips change</t>
  </si>
  <si>
    <t xml:space="preserve">Bus transit trips change </t>
  </si>
  <si>
    <t xml:space="preserve">Auto VT reduced </t>
  </si>
  <si>
    <t xml:space="preserve">Auto VMT reduced </t>
  </si>
  <si>
    <t>Auto fuel savings</t>
  </si>
  <si>
    <t>Trips shifted from bus</t>
  </si>
  <si>
    <t>Local (50%)</t>
  </si>
  <si>
    <t>Commute (50%)</t>
  </si>
  <si>
    <t>travel time, bus</t>
  </si>
  <si>
    <t>Time cost/savings, auto to bikeshare</t>
  </si>
  <si>
    <t>Time cost/savings, bus to bikeshare</t>
  </si>
  <si>
    <t>Time cost/savings, ped to bikeshare</t>
  </si>
  <si>
    <t>Time cost/savings, auto to transit+bikeshare</t>
  </si>
  <si>
    <t>Fuel Cost/Savings</t>
  </si>
  <si>
    <t>NET COSTS AND BENEFITS</t>
  </si>
  <si>
    <t>Health care savings for people completing 30 minutes of daily exercise vs those that do not ($/day)</t>
  </si>
  <si>
    <t>Health care savings by meeting activity requirement</t>
  </si>
  <si>
    <t>Reduced VMT</t>
  </si>
  <si>
    <t>Reduced Intersection Delay time</t>
  </si>
  <si>
    <t>CONGESTION</t>
  </si>
  <si>
    <t>Long-Term</t>
  </si>
  <si>
    <t>Cost savings per Vehicle mile not traveled</t>
  </si>
  <si>
    <t>AADT Georgia Avenue</t>
  </si>
  <si>
    <t>AADT Forest Glen Road</t>
  </si>
  <si>
    <t>New User (50% of VT reduced)</t>
  </si>
  <si>
    <t>Reduced Users</t>
  </si>
  <si>
    <t>Reduced signal delay (sec)</t>
  </si>
  <si>
    <t>Increased delay time(sec)</t>
  </si>
  <si>
    <t>Construction Impacts, $</t>
  </si>
  <si>
    <t>Total Congestion Impacts</t>
  </si>
  <si>
    <t xml:space="preserve">Bicycle Accident rate (annual crashes per daily rider) </t>
  </si>
  <si>
    <t>&amp; Bikesharing</t>
  </si>
  <si>
    <t>Total Accident Costs/Savings, $/year</t>
  </si>
  <si>
    <t>Cost of crossing under-construction intersection</t>
  </si>
  <si>
    <t>TPB Travel demand model</t>
  </si>
  <si>
    <t>Bike Lockers</t>
  </si>
  <si>
    <t>Utilization Rate</t>
  </si>
  <si>
    <t>Urban Commute Trip</t>
  </si>
  <si>
    <t>Suburban Commute Trip</t>
  </si>
  <si>
    <t xml:space="preserve">Total   </t>
  </si>
  <si>
    <t>Autombile</t>
  </si>
  <si>
    <t>Auto Accidenr rate (crash per VMT)</t>
  </si>
  <si>
    <t>PROP</t>
  </si>
  <si>
    <t>Property Damage, Automobile</t>
  </si>
  <si>
    <t>Auto crashes, 2007</t>
  </si>
  <si>
    <t>Fatalities</t>
  </si>
  <si>
    <t>Injuries</t>
  </si>
  <si>
    <t>Accident Rates, Automobile</t>
  </si>
  <si>
    <t>Accident Rates, Pedestrian</t>
  </si>
  <si>
    <t>Accident Rates, Bicycle</t>
  </si>
  <si>
    <t>Trips</t>
  </si>
  <si>
    <t>Rate/VMT</t>
  </si>
  <si>
    <t>All Ped Fatals</t>
  </si>
  <si>
    <t>All Bike Fatals</t>
  </si>
  <si>
    <t>Fatality rate</t>
  </si>
  <si>
    <t>Injury Rate</t>
  </si>
  <si>
    <t>Rate/Trip/Year</t>
  </si>
  <si>
    <t>Total Daily VMT, 2007</t>
  </si>
  <si>
    <t>Construction Impacts</t>
  </si>
  <si>
    <t xml:space="preserve">Double operating cost over affected area </t>
  </si>
  <si>
    <t>miles</t>
  </si>
  <si>
    <t>2008 HHTS</t>
  </si>
  <si>
    <t>Check</t>
  </si>
  <si>
    <t>PROJECT COSTS</t>
  </si>
  <si>
    <t>OTHER COSTS</t>
  </si>
  <si>
    <t>Comp. Grpah</t>
  </si>
  <si>
    <t>Property Damage Rate</t>
  </si>
  <si>
    <t>AADT Army-Navy Drive</t>
  </si>
  <si>
    <t>Pentagon City</t>
  </si>
  <si>
    <t xml:space="preserve"> PENTAGON CITY</t>
  </si>
  <si>
    <t>Percent using facility</t>
  </si>
  <si>
    <t>Commute (40%)</t>
  </si>
  <si>
    <t>Local (60%)</t>
  </si>
  <si>
    <t>Increased Pedestrian Accidents</t>
  </si>
  <si>
    <t>Intersection Delay time</t>
  </si>
  <si>
    <t>Annual</t>
  </si>
  <si>
    <t>Average fare per passsenger VRE</t>
  </si>
  <si>
    <t xml:space="preserve"> WEST HYATTSVILLE</t>
  </si>
  <si>
    <t>Percent using improvements</t>
  </si>
  <si>
    <t>West Hyattsville</t>
  </si>
  <si>
    <t xml:space="preserve"> NEW CARROLLTON</t>
  </si>
  <si>
    <t xml:space="preserve"> FORT TOTTEN</t>
  </si>
  <si>
    <t>Fort Totten</t>
  </si>
  <si>
    <t>New Carrollton</t>
  </si>
  <si>
    <t>Army Navy Drive Multimodal Access Improvement Project</t>
  </si>
  <si>
    <t>Bicycle Lockers at Virginia Railway Express (VRE) Stations</t>
  </si>
  <si>
    <t>Forest Glen Metro Access Project</t>
  </si>
  <si>
    <t xml:space="preserve"> Pedestrian Safety Measures for the New Carrollton Metro Station</t>
  </si>
  <si>
    <r>
      <t>Fort Totten / 1</t>
    </r>
    <r>
      <rPr>
        <vertAlign val="superscript"/>
        <sz val="10"/>
        <rFont val="Calibri"/>
        <family val="2"/>
        <scheme val="minor"/>
      </rPr>
      <t>st</t>
    </r>
    <r>
      <rPr>
        <sz val="10"/>
        <rFont val="Calibri"/>
        <family val="2"/>
        <scheme val="minor"/>
      </rPr>
      <t xml:space="preserve"> Place-Galloway Road Access Improvement Project</t>
    </r>
  </si>
  <si>
    <t>Net Travel Time Savings</t>
  </si>
  <si>
    <t>Net Travel Cost Savings</t>
  </si>
  <si>
    <t>Health Benefits</t>
  </si>
  <si>
    <t>3% Discount Rate</t>
  </si>
  <si>
    <t>Auto Accident rate (crash per VMT)</t>
  </si>
  <si>
    <t>('000s of $, 3% Discount Rate for Costs and Benefits)</t>
  </si>
  <si>
    <t xml:space="preserve"> </t>
  </si>
  <si>
    <t>Vehicle - Metro Access</t>
  </si>
  <si>
    <t>Environmental</t>
  </si>
  <si>
    <t>Reduced Accidents from improvements</t>
  </si>
  <si>
    <t>New Users</t>
  </si>
  <si>
    <t>All Users</t>
  </si>
  <si>
    <t>Total user cost/savings from bikeshare</t>
  </si>
  <si>
    <t>Fuel savings from reduced VMT</t>
  </si>
  <si>
    <t>Total emissions reductions</t>
  </si>
  <si>
    <t>Total savings from reduced VMT</t>
  </si>
  <si>
    <t>Total Costs</t>
  </si>
  <si>
    <t>Total Benefits</t>
  </si>
  <si>
    <t>Net</t>
  </si>
  <si>
    <t>Benefit/Cost Ratio</t>
  </si>
  <si>
    <t>7% Discount Rate</t>
  </si>
  <si>
    <t xml:space="preserve">West Hyattsville Improvements </t>
  </si>
  <si>
    <t>('000s of $, 7% Discount Rate for Costs and Benefits)</t>
  </si>
  <si>
    <t>Normalized against Pedestrian Counts</t>
  </si>
  <si>
    <t>varies</t>
  </si>
  <si>
    <t>Travel time savings (hours)</t>
  </si>
  <si>
    <t>Summary Tables by Project Component: 3% and 7% Discount Rates</t>
  </si>
  <si>
    <t>Overall Project Summary Tables: 3% and 7% Discount Rates</t>
  </si>
  <si>
    <t>Current ($2011) Dollars</t>
  </si>
  <si>
    <t>New Trips (all Modes)</t>
  </si>
  <si>
    <t>Calculation Tables</t>
  </si>
  <si>
    <t>User Trips</t>
  </si>
  <si>
    <t>AUTOMOBILE (not including property damage accidents)</t>
  </si>
  <si>
    <t>SAFETY (Fatalities and Injuries)</t>
  </si>
  <si>
    <t>Rosslyn Circle Crossing</t>
  </si>
  <si>
    <t>Rosslyn</t>
  </si>
  <si>
    <t xml:space="preserve"> ROSSLYN</t>
  </si>
  <si>
    <t>2020       (Year 8)</t>
  </si>
  <si>
    <t>2036      (Year 24)</t>
  </si>
  <si>
    <t xml:space="preserve">Total (2013 to 2036) </t>
  </si>
  <si>
    <t>SAFETY (Crashes)</t>
  </si>
  <si>
    <t>AADT WB Lee Highway (Route 29)</t>
  </si>
  <si>
    <t>AADT Lynn Street / Fort Myer Drive</t>
  </si>
  <si>
    <t>Raw AWDT Volumes 2011 Simulated CLRP</t>
  </si>
  <si>
    <t>Total User</t>
  </si>
  <si>
    <t>Table 1: FY 2011 Northern Virginia Bicycle and Pedestrian Counts</t>
  </si>
  <si>
    <t>24‐Hour Totals (Bi or Multi‐Directional)</t>
  </si>
  <si>
    <t xml:space="preserve">Bicycles </t>
  </si>
  <si>
    <t>Bikes+Peds</t>
  </si>
  <si>
    <t>Pedestrians</t>
  </si>
  <si>
    <t>Location Count Date (Day of Week)</t>
  </si>
  <si>
    <t>Mount Vernon Trail at Theodore Roosevelt Bridge</t>
  </si>
  <si>
    <t>6/27/2011 (M)</t>
  </si>
  <si>
    <t xml:space="preserve">Custis Trail at North Lynn Street </t>
  </si>
  <si>
    <t>6/9/2011 (Th)</t>
  </si>
  <si>
    <t>Custis Trail at North Fort Myer Drive</t>
  </si>
  <si>
    <t>Inputs</t>
  </si>
  <si>
    <t>Metrorail Counts and Modes of Access</t>
  </si>
  <si>
    <t>Normalize Metrorail vs Observed Counts</t>
  </si>
  <si>
    <t>Bicycle Volumes</t>
  </si>
  <si>
    <t>Notes: Summer measurements, significant duplication.  Only use Custis @ North Lynn Drive</t>
  </si>
  <si>
    <t>Presume not reported</t>
  </si>
  <si>
    <t xml:space="preserve">Presume all besides fatalities for conservative estimate. </t>
  </si>
  <si>
    <t>TIGER BCA Resource Guide</t>
  </si>
  <si>
    <t>Accident data</t>
  </si>
  <si>
    <t>average past three years bike + ped</t>
  </si>
  <si>
    <t>bike</t>
  </si>
  <si>
    <t>ped</t>
  </si>
  <si>
    <t>SOx</t>
  </si>
  <si>
    <t>SOx Source: TERMs for 2011 CLRP</t>
  </si>
  <si>
    <t>SOx, Tons of pollutants per day</t>
  </si>
  <si>
    <t>Year 25</t>
  </si>
  <si>
    <t>User Trips  (following implementation)</t>
  </si>
  <si>
    <t>Increased Pedestrians Accidents</t>
  </si>
  <si>
    <t>site specfic rates</t>
  </si>
  <si>
    <t>Total Users</t>
  </si>
  <si>
    <t>Bicycle Trips per day (round)</t>
  </si>
</sst>
</file>

<file path=xl/styles.xml><?xml version="1.0" encoding="utf-8"?>
<styleSheet xmlns="http://schemas.openxmlformats.org/spreadsheetml/2006/main">
  <numFmts count="34">
    <numFmt numFmtId="6" formatCode="&quot;$&quot;#,##0_);[Red]\(&quot;$&quot;#,##0\)"/>
    <numFmt numFmtId="8" formatCode="&quot;$&quot;#,##0.00_);[Red]\(&quot;$&quot;#,##0.00\)"/>
    <numFmt numFmtId="44" formatCode="_(&quot;$&quot;* #,##0.00_);_(&quot;$&quot;* \(#,##0.00\);_(&quot;$&quot;* &quot;-&quot;??_);_(@_)"/>
    <numFmt numFmtId="43" formatCode="_(* #,##0.00_);_(* \(#,##0.00\);_(* &quot;-&quot;??_);_(@_)"/>
    <numFmt numFmtId="164" formatCode="_(* #,##0_);_(* \(#,##0\);_(* &quot;-&quot;??_);_(@_)"/>
    <numFmt numFmtId="165" formatCode="0.00_)"/>
    <numFmt numFmtId="166" formatCode="&quot;$&quot;#,##0.00"/>
    <numFmt numFmtId="167" formatCode="&quot;$&quot;#,##0.0000"/>
    <numFmt numFmtId="168" formatCode="0.0"/>
    <numFmt numFmtId="169" formatCode="0.0000"/>
    <numFmt numFmtId="170" formatCode="&quot;$&quot;#,##0"/>
    <numFmt numFmtId="171" formatCode="&quot;$&quot;#,##0.000"/>
    <numFmt numFmtId="172" formatCode="#,##0.0000"/>
    <numFmt numFmtId="173" formatCode="#,##0\ "/>
    <numFmt numFmtId="174" formatCode="_([$€-2]* #,##0.00_);_([$€-2]* \(#,##0.00\);_([$€-2]* &quot;-&quot;??_)"/>
    <numFmt numFmtId="175" formatCode="_-* #,##0\ _P_t_s_-;\-* #,##0\ _P_t_s_-;_-* &quot;-&quot;\ _P_t_s_-;_-@_-"/>
    <numFmt numFmtId="176" formatCode="_-* #,##0.00\ _P_t_s_-;\-* #,##0.00\ _P_t_s_-;_-* &quot;-&quot;??\ _P_t_s_-;_-@_-"/>
    <numFmt numFmtId="177" formatCode="_-&quot;S/.&quot;* #,##0_-;\-&quot;S/.&quot;* #,##0_-;_-&quot;S/.&quot;* &quot;-&quot;_-;_-@_-"/>
    <numFmt numFmtId="178" formatCode="_-&quot;S/.&quot;* #,##0.00_-;\-&quot;S/.&quot;* #,##0.00_-;_-&quot;S/.&quot;* &quot;-&quot;??_-;_-@_-"/>
    <numFmt numFmtId="179" formatCode="0.000%"/>
    <numFmt numFmtId="180" formatCode="0.0%"/>
    <numFmt numFmtId="181" formatCode="_(&quot;$&quot;* #,##0_);_(&quot;$&quot;* \(#,##0\);_(&quot;$&quot;* &quot;-&quot;??_);_(@_)"/>
    <numFmt numFmtId="182" formatCode="0.000"/>
    <numFmt numFmtId="183" formatCode="0.0_);[Red]\(0.0\)"/>
    <numFmt numFmtId="184" formatCode="0_);[Red]\(0\)"/>
    <numFmt numFmtId="185" formatCode="_(&quot;$&quot;* #,##0.000_);_(&quot;$&quot;* \(#,##0.000\);_(&quot;$&quot;* &quot;-&quot;??_);_(@_)"/>
    <numFmt numFmtId="186" formatCode="0.0000%"/>
    <numFmt numFmtId="187" formatCode="#,##0;#,##0;;"/>
    <numFmt numFmtId="188" formatCode="&quot;$&quot;#,##0.000_);[Red]\(&quot;$&quot;#,##0.000\)"/>
    <numFmt numFmtId="189" formatCode="_(&quot;$&quot;* #,##0.0_);_(&quot;$&quot;* \(#,##0.0\);_(&quot;$&quot;* &quot;-&quot;????_);_(@_)"/>
    <numFmt numFmtId="190" formatCode="0.00000"/>
    <numFmt numFmtId="191" formatCode="0.0000000"/>
    <numFmt numFmtId="192" formatCode="0.00_);[Red]\(0.00\)"/>
    <numFmt numFmtId="193" formatCode="0.000E+00"/>
  </numFmts>
  <fonts count="82">
    <font>
      <sz val="10"/>
      <name val="Arial"/>
    </font>
    <font>
      <sz val="11"/>
      <name val="Calibri"/>
      <family val="2"/>
    </font>
    <font>
      <sz val="10"/>
      <name val="Arial"/>
      <family val="2"/>
    </font>
    <font>
      <sz val="8"/>
      <name val="Arial"/>
      <family val="2"/>
    </font>
    <font>
      <u/>
      <sz val="10"/>
      <color indexed="12"/>
      <name val="Arial"/>
      <family val="2"/>
    </font>
    <font>
      <b/>
      <sz val="10"/>
      <name val="Arial"/>
      <family val="2"/>
    </font>
    <font>
      <sz val="10"/>
      <color indexed="10"/>
      <name val="Arial"/>
      <family val="2"/>
    </font>
    <font>
      <sz val="10"/>
      <name val="Arial"/>
      <family val="2"/>
    </font>
    <font>
      <sz val="11"/>
      <color indexed="8"/>
      <name val="Calibri"/>
      <family val="2"/>
    </font>
    <font>
      <sz val="11"/>
      <color indexed="9"/>
      <name val="Calibri"/>
      <family val="2"/>
    </font>
    <font>
      <sz val="11"/>
      <name val="Arial"/>
      <family val="2"/>
    </font>
    <font>
      <sz val="11"/>
      <color indexed="20"/>
      <name val="Calibri"/>
      <family val="2"/>
    </font>
    <font>
      <b/>
      <sz val="11"/>
      <color indexed="52"/>
      <name val="Calibri"/>
      <family val="2"/>
    </font>
    <font>
      <b/>
      <sz val="11"/>
      <color indexed="9"/>
      <name val="Calibri"/>
      <family val="2"/>
    </font>
    <font>
      <sz val="10"/>
      <name val="Times New Roman"/>
      <family val="1"/>
    </font>
    <font>
      <sz val="10"/>
      <name val="Helv"/>
    </font>
    <font>
      <sz val="8"/>
      <name val="Tms Rmn"/>
    </font>
    <font>
      <i/>
      <sz val="11"/>
      <color indexed="23"/>
      <name val="Calibri"/>
      <family val="2"/>
    </font>
    <font>
      <sz val="11"/>
      <color indexed="17"/>
      <name val="Calibri"/>
      <family val="2"/>
    </font>
    <font>
      <sz val="8"/>
      <name val="Arial"/>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7"/>
      <name val="Small Fonts"/>
      <family val="2"/>
    </font>
    <font>
      <b/>
      <i/>
      <sz val="16"/>
      <name val="Helv"/>
    </font>
    <font>
      <sz val="14"/>
      <name val="–¾’©"/>
      <charset val="128"/>
    </font>
    <font>
      <b/>
      <sz val="11"/>
      <color indexed="63"/>
      <name val="Calibri"/>
      <family val="2"/>
    </font>
    <font>
      <sz val="10"/>
      <name val="MS Sans Serif"/>
      <family val="2"/>
    </font>
    <font>
      <sz val="8"/>
      <name val="Times New Roman"/>
      <family val="1"/>
    </font>
    <font>
      <sz val="14"/>
      <name val="Arial"/>
      <family val="2"/>
    </font>
    <font>
      <b/>
      <sz val="9"/>
      <name val="Arial"/>
      <family val="2"/>
    </font>
    <font>
      <sz val="18"/>
      <name val="Arial"/>
      <family val="2"/>
    </font>
    <font>
      <b/>
      <sz val="18"/>
      <color indexed="56"/>
      <name val="Cambria"/>
      <family val="2"/>
    </font>
    <font>
      <b/>
      <sz val="11"/>
      <color indexed="8"/>
      <name val="Calibri"/>
      <family val="2"/>
    </font>
    <font>
      <sz val="11"/>
      <color indexed="10"/>
      <name val="Calibri"/>
      <family val="2"/>
    </font>
    <font>
      <b/>
      <sz val="8"/>
      <name val="Arial"/>
      <family val="2"/>
    </font>
    <font>
      <b/>
      <sz val="10"/>
      <color indexed="10"/>
      <name val="Arial"/>
      <family val="2"/>
    </font>
    <font>
      <sz val="10"/>
      <color indexed="60"/>
      <name val="Arial"/>
      <family val="2"/>
    </font>
    <font>
      <b/>
      <vertAlign val="subscript"/>
      <sz val="10"/>
      <color indexed="10"/>
      <name val="Arial"/>
      <family val="2"/>
    </font>
    <font>
      <b/>
      <sz val="10"/>
      <name val="Arial"/>
      <family val="2"/>
    </font>
    <font>
      <sz val="10"/>
      <name val="Arial"/>
      <family val="2"/>
    </font>
    <font>
      <sz val="10"/>
      <color indexed="55"/>
      <name val="Arial"/>
      <family val="2"/>
    </font>
    <font>
      <sz val="9"/>
      <name val="Arial"/>
      <family val="2"/>
    </font>
    <font>
      <sz val="9"/>
      <name val="Arial"/>
      <family val="2"/>
    </font>
    <font>
      <b/>
      <sz val="9"/>
      <name val="Arial"/>
      <family val="2"/>
    </font>
    <font>
      <sz val="9"/>
      <color indexed="10"/>
      <name val="Arial"/>
      <family val="2"/>
    </font>
    <font>
      <sz val="9"/>
      <name val="Times New Roman"/>
      <family val="1"/>
    </font>
    <font>
      <b/>
      <sz val="10"/>
      <color indexed="10"/>
      <name val="Arial"/>
      <family val="2"/>
    </font>
    <font>
      <vertAlign val="subscript"/>
      <sz val="9"/>
      <name val="Arial"/>
      <family val="2"/>
    </font>
    <font>
      <sz val="10"/>
      <color indexed="8"/>
      <name val="Arial"/>
      <family val="2"/>
    </font>
    <font>
      <b/>
      <sz val="9"/>
      <color indexed="10"/>
      <name val="Arial"/>
      <family val="2"/>
    </font>
    <font>
      <i/>
      <sz val="9"/>
      <name val="Arial"/>
      <family val="2"/>
    </font>
    <font>
      <b/>
      <sz val="9"/>
      <color indexed="48"/>
      <name val="Arial"/>
      <family val="2"/>
    </font>
    <font>
      <sz val="9"/>
      <color indexed="48"/>
      <name val="Arial"/>
      <family val="2"/>
    </font>
    <font>
      <sz val="9"/>
      <color indexed="17"/>
      <name val="Arial"/>
      <family val="2"/>
    </font>
    <font>
      <b/>
      <sz val="9"/>
      <color indexed="17"/>
      <name val="Arial"/>
      <family val="2"/>
    </font>
    <font>
      <i/>
      <sz val="11"/>
      <color theme="1"/>
      <name val="Calibri"/>
      <family val="2"/>
      <scheme val="minor"/>
    </font>
    <font>
      <b/>
      <u/>
      <sz val="11"/>
      <color theme="1"/>
      <name val="Calibri"/>
      <family val="2"/>
      <scheme val="minor"/>
    </font>
    <font>
      <b/>
      <sz val="10"/>
      <color indexed="8"/>
      <name val="Arial"/>
      <family val="2"/>
    </font>
    <font>
      <b/>
      <sz val="10"/>
      <name val="MS Sans Serif"/>
      <family val="2"/>
    </font>
    <font>
      <b/>
      <sz val="11"/>
      <color theme="1"/>
      <name val="Calibri"/>
      <family val="2"/>
      <scheme val="minor"/>
    </font>
    <font>
      <sz val="10.5"/>
      <color theme="1"/>
      <name val="Calibri"/>
      <family val="2"/>
      <scheme val="minor"/>
    </font>
    <font>
      <sz val="12"/>
      <color theme="1"/>
      <name val="Calibri"/>
      <family val="2"/>
      <scheme val="minor"/>
    </font>
    <font>
      <b/>
      <u/>
      <sz val="10"/>
      <name val="Arial"/>
      <family val="2"/>
    </font>
    <font>
      <b/>
      <sz val="9"/>
      <color rgb="FF00B050"/>
      <name val="Arial"/>
      <family val="2"/>
    </font>
    <font>
      <b/>
      <sz val="12"/>
      <color rgb="FFFFFFFF"/>
      <name val="Gill Sans Light"/>
    </font>
    <font>
      <sz val="10"/>
      <color theme="0" tint="-0.499984740745262"/>
      <name val="Arial"/>
      <family val="2"/>
    </font>
    <font>
      <sz val="9"/>
      <color theme="0" tint="-0.499984740745262"/>
      <name val="Arial"/>
      <family val="2"/>
    </font>
    <font>
      <b/>
      <sz val="10"/>
      <color rgb="FFFF6600"/>
      <name val="Arial"/>
      <family val="2"/>
    </font>
    <font>
      <b/>
      <sz val="12"/>
      <color rgb="FFFF6600"/>
      <name val="Calibri"/>
      <family val="2"/>
      <scheme val="minor"/>
    </font>
    <font>
      <sz val="12"/>
      <name val="Calibri"/>
      <family val="2"/>
      <scheme val="minor"/>
    </font>
    <font>
      <sz val="10"/>
      <name val="Calibri"/>
      <family val="2"/>
      <scheme val="minor"/>
    </font>
    <font>
      <vertAlign val="superscript"/>
      <sz val="10"/>
      <name val="Calibri"/>
      <family val="2"/>
      <scheme val="minor"/>
    </font>
    <font>
      <sz val="9"/>
      <color theme="9" tint="-0.249977111117893"/>
      <name val="Arial"/>
      <family val="2"/>
    </font>
    <font>
      <b/>
      <sz val="12"/>
      <name val="Arial"/>
      <family val="2"/>
    </font>
    <font>
      <b/>
      <sz val="18"/>
      <name val="Arial"/>
      <family val="2"/>
    </font>
    <font>
      <sz val="12"/>
      <name val="Arial"/>
      <family val="2"/>
    </font>
    <font>
      <i/>
      <sz val="10"/>
      <name val="Arial"/>
      <family val="2"/>
    </font>
    <font>
      <sz val="9"/>
      <color rgb="FFFF0000"/>
      <name val="Arial"/>
      <family val="2"/>
    </font>
  </fonts>
  <fills count="4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41"/>
        <bgColor indexed="64"/>
      </patternFill>
    </fill>
    <fill>
      <patternFill patternType="solid">
        <fgColor indexed="43"/>
        <bgColor indexed="64"/>
      </patternFill>
    </fill>
    <fill>
      <patternFill patternType="solid">
        <fgColor indexed="9"/>
        <bgColor indexed="64"/>
      </patternFill>
    </fill>
    <fill>
      <patternFill patternType="solid">
        <fgColor indexed="47"/>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rgb="FFFFFF99"/>
        <bgColor indexed="64"/>
      </patternFill>
    </fill>
    <fill>
      <patternFill patternType="solid">
        <fgColor rgb="FF4F81BD"/>
        <bgColor indexed="64"/>
      </patternFill>
    </fill>
    <fill>
      <patternFill patternType="solid">
        <fgColor theme="5" tint="0.59999389629810485"/>
        <bgColor indexed="64"/>
      </patternFill>
    </fill>
    <fill>
      <patternFill patternType="solid">
        <fgColor theme="0" tint="-0.499984740745262"/>
        <bgColor indexed="64"/>
      </patternFill>
    </fill>
    <fill>
      <patternFill patternType="solid">
        <fgColor theme="8" tint="0.39997558519241921"/>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39997558519241921"/>
        <bgColor indexed="64"/>
      </patternFill>
    </fill>
    <fill>
      <patternFill patternType="solid">
        <fgColor rgb="FFFF66CC"/>
        <bgColor indexed="64"/>
      </patternFill>
    </fill>
    <fill>
      <patternFill patternType="solid">
        <fgColor theme="2" tint="-0.249977111117893"/>
        <bgColor indexed="64"/>
      </patternFill>
    </fill>
    <fill>
      <patternFill patternType="solid">
        <fgColor theme="0" tint="-0.249977111117893"/>
        <bgColor indexed="64"/>
      </patternFill>
    </fill>
  </fills>
  <borders count="6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hair">
        <color indexed="64"/>
      </bottom>
      <diagonal/>
    </border>
    <border>
      <left/>
      <right/>
      <top/>
      <bottom style="thin">
        <color indexed="8"/>
      </bottom>
      <diagonal/>
    </border>
    <border>
      <left style="thin">
        <color indexed="8"/>
      </left>
      <right/>
      <top/>
      <bottom/>
      <diagonal/>
    </border>
    <border>
      <left/>
      <right/>
      <top style="thin">
        <color indexed="8"/>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8"/>
      </left>
      <right style="thin">
        <color indexed="8"/>
      </right>
      <top style="thin">
        <color indexed="8"/>
      </top>
      <bottom style="thin">
        <color indexed="8"/>
      </bottom>
      <diagonal/>
    </border>
    <border>
      <left style="double">
        <color auto="1"/>
      </left>
      <right style="thin">
        <color auto="1"/>
      </right>
      <top style="double">
        <color auto="1"/>
      </top>
      <bottom style="double">
        <color auto="1"/>
      </bottom>
      <diagonal/>
    </border>
    <border>
      <left style="thin">
        <color auto="1"/>
      </left>
      <right style="thin">
        <color auto="1"/>
      </right>
      <top style="double">
        <color auto="1"/>
      </top>
      <bottom style="double">
        <color auto="1"/>
      </bottom>
      <diagonal/>
    </border>
    <border>
      <left style="thin">
        <color auto="1"/>
      </left>
      <right style="double">
        <color auto="1"/>
      </right>
      <top style="double">
        <color auto="1"/>
      </top>
      <bottom style="double">
        <color auto="1"/>
      </bottom>
      <diagonal/>
    </border>
    <border>
      <left style="double">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double">
        <color auto="1"/>
      </right>
      <top style="medium">
        <color auto="1"/>
      </top>
      <bottom style="double">
        <color auto="1"/>
      </bottom>
      <diagonal/>
    </border>
    <border>
      <left style="double">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thin">
        <color auto="1"/>
      </bottom>
      <diagonal/>
    </border>
    <border>
      <left style="double">
        <color auto="1"/>
      </left>
      <right style="thin">
        <color auto="1"/>
      </right>
      <top/>
      <bottom style="thick">
        <color auto="1"/>
      </bottom>
      <diagonal/>
    </border>
    <border>
      <left style="thin">
        <color auto="1"/>
      </left>
      <right style="thin">
        <color auto="1"/>
      </right>
      <top style="thin">
        <color auto="1"/>
      </top>
      <bottom style="thick">
        <color auto="1"/>
      </bottom>
      <diagonal/>
    </border>
    <border>
      <left style="thin">
        <color auto="1"/>
      </left>
      <right style="double">
        <color auto="1"/>
      </right>
      <top style="thin">
        <color auto="1"/>
      </top>
      <bottom style="thick">
        <color auto="1"/>
      </bottom>
      <diagonal/>
    </border>
    <border>
      <left style="double">
        <color auto="1"/>
      </left>
      <right style="thin">
        <color auto="1"/>
      </right>
      <top style="thin">
        <color auto="1"/>
      </top>
      <bottom style="thick">
        <color auto="1"/>
      </bottom>
      <diagonal/>
    </border>
    <border>
      <left style="double">
        <color auto="1"/>
      </left>
      <right style="thin">
        <color auto="1"/>
      </right>
      <top style="thin">
        <color auto="1"/>
      </top>
      <bottom/>
      <diagonal/>
    </border>
    <border>
      <left style="double">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auto="1"/>
      </right>
      <top style="thin">
        <color auto="1"/>
      </top>
      <bottom style="double">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double">
        <color auto="1"/>
      </left>
      <right/>
      <top/>
      <bottom/>
      <diagonal/>
    </border>
    <border>
      <left/>
      <right/>
      <top style="thin">
        <color auto="1"/>
      </top>
      <bottom/>
      <diagonal/>
    </border>
    <border>
      <left style="medium">
        <color rgb="FFFFFFFF"/>
      </left>
      <right style="medium">
        <color rgb="FFFFFFFF"/>
      </right>
      <top style="medium">
        <color rgb="FFFFFFFF"/>
      </top>
      <bottom style="thick">
        <color rgb="FFFFFFFF"/>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64"/>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73">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173" fontId="10" fillId="0" borderId="0">
      <alignment vertical="center"/>
    </xf>
    <xf numFmtId="0" fontId="11" fillId="3" borderId="0" applyNumberFormat="0" applyBorder="0" applyAlignment="0" applyProtection="0"/>
    <xf numFmtId="0" fontId="12" fillId="20" borderId="1" applyNumberFormat="0" applyAlignment="0" applyProtection="0"/>
    <xf numFmtId="0" fontId="13" fillId="21" borderId="2" applyNumberFormat="0" applyAlignment="0" applyProtection="0"/>
    <xf numFmtId="43" fontId="2" fillId="0" borderId="0" applyFont="0" applyFill="0" applyBorder="0" applyAlignment="0" applyProtection="0"/>
    <xf numFmtId="3" fontId="14" fillId="0" borderId="0"/>
    <xf numFmtId="6" fontId="15" fillId="0" borderId="0" applyFont="0" applyFill="0" applyBorder="0" applyAlignment="0" applyProtection="0"/>
    <xf numFmtId="8" fontId="16" fillId="0" borderId="0" applyBorder="0" applyAlignment="0"/>
    <xf numFmtId="174" fontId="2" fillId="0" borderId="0" applyFont="0" applyFill="0" applyBorder="0" applyAlignment="0" applyProtection="0"/>
    <xf numFmtId="0" fontId="17" fillId="0" borderId="0" applyNumberFormat="0" applyFill="0" applyBorder="0" applyAlignment="0" applyProtection="0"/>
    <xf numFmtId="0" fontId="18" fillId="4" borderId="0" applyNumberFormat="0" applyBorder="0" applyAlignment="0" applyProtection="0"/>
    <xf numFmtId="38" fontId="19" fillId="22" borderId="0" applyNumberFormat="0" applyBorder="0" applyAlignment="0" applyProtection="0"/>
    <xf numFmtId="0" fontId="20" fillId="0" borderId="3" applyNumberFormat="0" applyFill="0" applyAlignment="0" applyProtection="0"/>
    <xf numFmtId="0" fontId="21" fillId="0" borderId="4" applyNumberFormat="0" applyFill="0" applyAlignment="0" applyProtection="0"/>
    <xf numFmtId="0" fontId="22" fillId="0" borderId="5" applyNumberFormat="0" applyFill="0" applyAlignment="0" applyProtection="0"/>
    <xf numFmtId="0" fontId="22" fillId="0" borderId="0" applyNumberFormat="0" applyFill="0" applyBorder="0" applyAlignment="0" applyProtection="0"/>
    <xf numFmtId="0" fontId="4" fillId="0" borderId="0" applyNumberFormat="0" applyFill="0" applyBorder="0" applyAlignment="0" applyProtection="0">
      <alignment vertical="top"/>
      <protection locked="0"/>
    </xf>
    <xf numFmtId="0" fontId="23" fillId="7" borderId="1" applyNumberFormat="0" applyAlignment="0" applyProtection="0"/>
    <xf numFmtId="10" fontId="19" fillId="23" borderId="6" applyNumberFormat="0" applyBorder="0" applyAlignment="0" applyProtection="0"/>
    <xf numFmtId="0" fontId="24" fillId="0" borderId="7" applyNumberFormat="0" applyFill="0" applyAlignment="0" applyProtection="0"/>
    <xf numFmtId="175" fontId="2" fillId="0" borderId="0" applyFont="0" applyFill="0" applyBorder="0" applyAlignment="0" applyProtection="0"/>
    <xf numFmtId="176" fontId="2" fillId="0" borderId="0" applyFont="0" applyFill="0" applyBorder="0" applyAlignment="0" applyProtection="0"/>
    <xf numFmtId="177" fontId="14" fillId="0" borderId="0" applyFont="0" applyFill="0" applyBorder="0" applyAlignment="0" applyProtection="0"/>
    <xf numFmtId="178" fontId="14" fillId="0" borderId="0" applyFont="0" applyFill="0" applyBorder="0" applyAlignment="0" applyProtection="0"/>
    <xf numFmtId="0" fontId="25" fillId="24" borderId="0" applyNumberFormat="0" applyBorder="0" applyAlignment="0" applyProtection="0"/>
    <xf numFmtId="37" fontId="26" fillId="0" borderId="0"/>
    <xf numFmtId="165" fontId="27" fillId="0" borderId="0"/>
    <xf numFmtId="0" fontId="2" fillId="25" borderId="8" applyNumberFormat="0" applyFont="0" applyAlignment="0" applyProtection="0"/>
    <xf numFmtId="40" fontId="28" fillId="0" borderId="0" applyFont="0" applyFill="0" applyBorder="0" applyAlignment="0" applyProtection="0"/>
    <xf numFmtId="38" fontId="28" fillId="0" borderId="0" applyFont="0" applyFill="0" applyBorder="0" applyAlignment="0" applyProtection="0"/>
    <xf numFmtId="0" fontId="29" fillId="20" borderId="9" applyNumberFormat="0" applyAlignment="0" applyProtection="0"/>
    <xf numFmtId="10" fontId="2" fillId="0" borderId="0" applyFont="0" applyFill="0" applyBorder="0" applyAlignment="0" applyProtection="0"/>
    <xf numFmtId="10" fontId="30" fillId="0" borderId="0" applyFont="0" applyFill="0" applyBorder="0" applyAlignment="0" applyProtection="0"/>
    <xf numFmtId="0" fontId="31" fillId="0" borderId="10" applyNumberFormat="0" applyAlignment="0"/>
    <xf numFmtId="0" fontId="2" fillId="0" borderId="11" applyNumberFormat="0" applyFont="0" applyFill="0" applyAlignment="0" applyProtection="0"/>
    <xf numFmtId="0" fontId="2" fillId="0" borderId="12" applyNumberFormat="0" applyFont="0" applyFill="0" applyAlignment="0" applyProtection="0"/>
    <xf numFmtId="0" fontId="2" fillId="0" borderId="8" applyNumberFormat="0" applyFont="0" applyFill="0" applyAlignment="0" applyProtection="0"/>
    <xf numFmtId="0" fontId="32" fillId="0" borderId="0" applyNumberFormat="0" applyFill="0" applyBorder="0" applyAlignment="0" applyProtection="0"/>
    <xf numFmtId="0" fontId="33" fillId="0" borderId="0" applyNumberFormat="0" applyFill="0" applyBorder="0" applyProtection="0">
      <alignment horizontal="left"/>
    </xf>
    <xf numFmtId="0" fontId="34" fillId="0" borderId="0" applyNumberFormat="0" applyFill="0" applyBorder="0" applyAlignment="0" applyProtection="0"/>
    <xf numFmtId="0" fontId="2" fillId="0" borderId="13" applyNumberFormat="0" applyFont="0" applyFill="0" applyAlignment="0" applyProtection="0"/>
    <xf numFmtId="0" fontId="35" fillId="0" borderId="0" applyNumberFormat="0" applyFill="0" applyBorder="0" applyAlignment="0" applyProtection="0"/>
    <xf numFmtId="0" fontId="36" fillId="0" borderId="14" applyNumberFormat="0" applyFill="0" applyAlignment="0" applyProtection="0"/>
    <xf numFmtId="0" fontId="37" fillId="0" borderId="0" applyNumberForma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52" fillId="0" borderId="0"/>
    <xf numFmtId="0" fontId="2" fillId="0" borderId="0"/>
  </cellStyleXfs>
  <cellXfs count="560">
    <xf numFmtId="0" fontId="0" fillId="0" borderId="0" xfId="0"/>
    <xf numFmtId="0" fontId="0" fillId="0" borderId="6" xfId="0" applyBorder="1"/>
    <xf numFmtId="0" fontId="0" fillId="26" borderId="0" xfId="0" applyFill="1"/>
    <xf numFmtId="0" fontId="5" fillId="0" borderId="0" xfId="0" applyFont="1"/>
    <xf numFmtId="0" fontId="0" fillId="0" borderId="0" xfId="0" applyAlignment="1" applyProtection="1">
      <alignment horizontal="left"/>
    </xf>
    <xf numFmtId="0" fontId="33" fillId="0" borderId="0" xfId="0" applyFont="1"/>
    <xf numFmtId="0" fontId="38" fillId="0" borderId="0" xfId="0" applyFont="1" applyAlignment="1">
      <alignment horizontal="center"/>
    </xf>
    <xf numFmtId="0" fontId="5" fillId="27" borderId="6" xfId="0" applyFont="1" applyFill="1" applyBorder="1" applyAlignment="1">
      <alignment horizontal="center"/>
    </xf>
    <xf numFmtId="0" fontId="7" fillId="28" borderId="6" xfId="0" applyFont="1" applyFill="1" applyBorder="1"/>
    <xf numFmtId="8" fontId="7" fillId="28" borderId="6" xfId="0" applyNumberFormat="1" applyFont="1" applyFill="1" applyBorder="1" applyAlignment="1">
      <alignment horizontal="right"/>
    </xf>
    <xf numFmtId="166" fontId="7" fillId="28" borderId="6" xfId="0" applyNumberFormat="1" applyFont="1" applyFill="1" applyBorder="1" applyAlignment="1">
      <alignment horizontal="right"/>
    </xf>
    <xf numFmtId="0" fontId="0" fillId="0" borderId="6" xfId="0" applyBorder="1" applyAlignment="1">
      <alignment horizontal="center"/>
    </xf>
    <xf numFmtId="167" fontId="40" fillId="0" borderId="6" xfId="0" applyNumberFormat="1" applyFont="1" applyFill="1" applyBorder="1" applyAlignment="1">
      <alignment horizontal="right"/>
    </xf>
    <xf numFmtId="0" fontId="40" fillId="0" borderId="6" xfId="0" applyFont="1" applyBorder="1" applyAlignment="1">
      <alignment horizontal="center"/>
    </xf>
    <xf numFmtId="166" fontId="0" fillId="0" borderId="6" xfId="0" applyNumberFormat="1" applyBorder="1"/>
    <xf numFmtId="166" fontId="7" fillId="0" borderId="6" xfId="0" applyNumberFormat="1" applyFont="1" applyBorder="1"/>
    <xf numFmtId="0" fontId="7" fillId="0" borderId="6" xfId="0" applyFont="1" applyBorder="1"/>
    <xf numFmtId="166" fontId="7" fillId="0" borderId="6" xfId="29" applyNumberFormat="1" applyFont="1" applyBorder="1"/>
    <xf numFmtId="0" fontId="7" fillId="0" borderId="15" xfId="0" applyFont="1" applyBorder="1"/>
    <xf numFmtId="166" fontId="0" fillId="0" borderId="15" xfId="0" applyNumberFormat="1" applyBorder="1"/>
    <xf numFmtId="0" fontId="0" fillId="0" borderId="15" xfId="0" applyBorder="1" applyAlignment="1">
      <alignment horizontal="center"/>
    </xf>
    <xf numFmtId="0" fontId="7" fillId="0" borderId="6" xfId="0" applyFont="1" applyFill="1" applyBorder="1"/>
    <xf numFmtId="15" fontId="0" fillId="0" borderId="0" xfId="0" applyNumberFormat="1"/>
    <xf numFmtId="0" fontId="39" fillId="0" borderId="0" xfId="0" applyFont="1"/>
    <xf numFmtId="0" fontId="0" fillId="0" borderId="0" xfId="0" applyFill="1" applyAlignment="1">
      <alignment horizontal="left"/>
    </xf>
    <xf numFmtId="0" fontId="0" fillId="0" borderId="0" xfId="0" applyFill="1"/>
    <xf numFmtId="0" fontId="2" fillId="0" borderId="0" xfId="0" applyFont="1"/>
    <xf numFmtId="0" fontId="42" fillId="27" borderId="6" xfId="0" applyFont="1" applyFill="1" applyBorder="1" applyAlignment="1">
      <alignment horizontal="center"/>
    </xf>
    <xf numFmtId="0" fontId="43" fillId="0" borderId="6" xfId="0" applyFont="1" applyBorder="1" applyAlignment="1">
      <alignment horizontal="center"/>
    </xf>
    <xf numFmtId="0" fontId="43" fillId="0" borderId="6" xfId="0" applyFont="1" applyBorder="1" applyAlignment="1">
      <alignment horizontal="center" wrapText="1"/>
    </xf>
    <xf numFmtId="0" fontId="43" fillId="0" borderId="0" xfId="0" applyFont="1"/>
    <xf numFmtId="0" fontId="44" fillId="0" borderId="0" xfId="0" applyFont="1"/>
    <xf numFmtId="165" fontId="44" fillId="0" borderId="0" xfId="0" applyNumberFormat="1" applyFont="1" applyProtection="1"/>
    <xf numFmtId="0" fontId="44" fillId="0" borderId="0" xfId="0" applyFont="1" applyFill="1"/>
    <xf numFmtId="1" fontId="0" fillId="0" borderId="0" xfId="0" applyNumberFormat="1"/>
    <xf numFmtId="170" fontId="0" fillId="0" borderId="0" xfId="0" applyNumberFormat="1"/>
    <xf numFmtId="0" fontId="5" fillId="0" borderId="0" xfId="0" applyFont="1" applyFill="1"/>
    <xf numFmtId="0" fontId="5" fillId="29" borderId="0" xfId="0" applyFont="1" applyFill="1"/>
    <xf numFmtId="0" fontId="0" fillId="29" borderId="0" xfId="0" applyFill="1"/>
    <xf numFmtId="0" fontId="6" fillId="0" borderId="0" xfId="0" applyFont="1" applyFill="1"/>
    <xf numFmtId="0" fontId="7" fillId="0" borderId="0" xfId="0" applyFont="1" applyFill="1" applyBorder="1" applyAlignment="1">
      <alignment horizontal="right" vertical="top" wrapText="1"/>
    </xf>
    <xf numFmtId="0" fontId="7" fillId="0" borderId="0" xfId="0" applyFont="1" applyFill="1"/>
    <xf numFmtId="164" fontId="0" fillId="0" borderId="0" xfId="0" applyNumberFormat="1" applyFill="1"/>
    <xf numFmtId="164" fontId="6" fillId="0" borderId="0" xfId="0" applyNumberFormat="1" applyFont="1" applyFill="1"/>
    <xf numFmtId="0" fontId="33" fillId="0" borderId="0" xfId="0" applyFont="1" applyFill="1" applyBorder="1"/>
    <xf numFmtId="0" fontId="46" fillId="0" borderId="0" xfId="0" applyFont="1" applyFill="1"/>
    <xf numFmtId="0" fontId="47" fillId="0" borderId="0" xfId="0" applyFont="1" applyFill="1" applyBorder="1"/>
    <xf numFmtId="0" fontId="46" fillId="0" borderId="0" xfId="0" applyFont="1" applyFill="1" applyBorder="1" applyAlignment="1">
      <alignment horizontal="left"/>
    </xf>
    <xf numFmtId="0" fontId="46" fillId="0" borderId="0" xfId="0" applyFont="1" applyFill="1" applyBorder="1" applyAlignment="1">
      <alignment horizontal="left" indent="2"/>
    </xf>
    <xf numFmtId="0" fontId="46" fillId="0" borderId="0" xfId="0" applyFont="1" applyFill="1" applyBorder="1" applyAlignment="1">
      <alignment horizontal="left" indent="1"/>
    </xf>
    <xf numFmtId="0" fontId="46" fillId="0" borderId="0" xfId="0" applyFont="1" applyFill="1" applyBorder="1" applyAlignment="1">
      <alignment horizontal="right" vertical="top" wrapText="1"/>
    </xf>
    <xf numFmtId="0" fontId="48" fillId="0" borderId="0" xfId="0" applyFont="1" applyFill="1" applyBorder="1" applyAlignment="1">
      <alignment horizontal="right" vertical="top" wrapText="1"/>
    </xf>
    <xf numFmtId="164" fontId="46" fillId="0" borderId="0" xfId="29" applyNumberFormat="1" applyFont="1" applyFill="1"/>
    <xf numFmtId="0" fontId="46" fillId="0" borderId="0" xfId="0" applyFont="1"/>
    <xf numFmtId="0" fontId="45" fillId="0" borderId="0" xfId="0" applyFont="1" applyFill="1" applyAlignment="1">
      <alignment horizontal="left"/>
    </xf>
    <xf numFmtId="0" fontId="45" fillId="0" borderId="0" xfId="0" applyFont="1" applyFill="1"/>
    <xf numFmtId="170" fontId="46" fillId="0" borderId="0" xfId="0" applyNumberFormat="1" applyFont="1" applyBorder="1"/>
    <xf numFmtId="0" fontId="46" fillId="0" borderId="0" xfId="0" applyFont="1" applyBorder="1"/>
    <xf numFmtId="0" fontId="33" fillId="0" borderId="0" xfId="0" applyFont="1" applyFill="1"/>
    <xf numFmtId="1" fontId="46" fillId="0" borderId="0" xfId="0" applyNumberFormat="1" applyFont="1" applyBorder="1"/>
    <xf numFmtId="8" fontId="46" fillId="0" borderId="0" xfId="0" applyNumberFormat="1" applyFont="1" applyBorder="1"/>
    <xf numFmtId="0" fontId="49" fillId="0" borderId="0" xfId="0" applyFont="1"/>
    <xf numFmtId="0" fontId="33" fillId="0" borderId="0" xfId="0" applyFont="1" applyFill="1" applyAlignment="1">
      <alignment horizontal="left"/>
    </xf>
    <xf numFmtId="0" fontId="47" fillId="0" borderId="0" xfId="0" applyFont="1"/>
    <xf numFmtId="0" fontId="47" fillId="0" borderId="0" xfId="0" applyFont="1" applyFill="1"/>
    <xf numFmtId="1" fontId="2" fillId="0" borderId="0" xfId="0" applyNumberFormat="1" applyFont="1" applyFill="1"/>
    <xf numFmtId="0" fontId="46" fillId="0" borderId="0" xfId="0" applyFont="1" applyFill="1" applyAlignment="1">
      <alignment horizontal="left"/>
    </xf>
    <xf numFmtId="164" fontId="46" fillId="0" borderId="0" xfId="29" applyNumberFormat="1" applyFont="1" applyFill="1" applyBorder="1"/>
    <xf numFmtId="0" fontId="48" fillId="0" borderId="0" xfId="0" applyFont="1" applyFill="1"/>
    <xf numFmtId="0" fontId="50" fillId="0" borderId="0" xfId="0" applyFont="1" applyFill="1"/>
    <xf numFmtId="0" fontId="45" fillId="0" borderId="0" xfId="0" applyFont="1"/>
    <xf numFmtId="169" fontId="46" fillId="0" borderId="0" xfId="0" applyNumberFormat="1" applyFont="1" applyBorder="1"/>
    <xf numFmtId="0" fontId="0" fillId="27" borderId="0" xfId="0" applyFill="1" applyAlignment="1">
      <alignment horizontal="center"/>
    </xf>
    <xf numFmtId="0" fontId="46" fillId="27" borderId="0" xfId="0" applyFont="1" applyFill="1" applyAlignment="1">
      <alignment horizontal="center"/>
    </xf>
    <xf numFmtId="0" fontId="0" fillId="0" borderId="0" xfId="0" applyAlignment="1">
      <alignment horizontal="center"/>
    </xf>
    <xf numFmtId="0" fontId="0" fillId="27" borderId="0" xfId="0" applyFill="1" applyBorder="1" applyAlignment="1">
      <alignment horizontal="center"/>
    </xf>
    <xf numFmtId="0" fontId="0" fillId="0" borderId="0" xfId="0" applyBorder="1"/>
    <xf numFmtId="8" fontId="2" fillId="0" borderId="0" xfId="0" applyNumberFormat="1" applyFont="1"/>
    <xf numFmtId="0" fontId="45" fillId="0" borderId="0" xfId="0" applyFont="1" applyFill="1" applyBorder="1" applyAlignment="1">
      <alignment horizontal="left"/>
    </xf>
    <xf numFmtId="0" fontId="0" fillId="0" borderId="0" xfId="0" applyFill="1" applyAlignment="1">
      <alignment horizontal="center"/>
    </xf>
    <xf numFmtId="0" fontId="5" fillId="0" borderId="0" xfId="0" applyFont="1" applyFill="1" applyAlignment="1">
      <alignment horizontal="left"/>
    </xf>
    <xf numFmtId="166" fontId="44" fillId="0" borderId="0" xfId="0" applyNumberFormat="1" applyFont="1"/>
    <xf numFmtId="166" fontId="0" fillId="0" borderId="0" xfId="0" applyNumberFormat="1"/>
    <xf numFmtId="170" fontId="33" fillId="0" borderId="0" xfId="0" applyNumberFormat="1" applyFont="1" applyBorder="1"/>
    <xf numFmtId="0" fontId="7" fillId="0" borderId="0" xfId="0" applyFont="1"/>
    <xf numFmtId="0" fontId="7" fillId="0" borderId="6" xfId="0" applyFont="1" applyBorder="1" applyAlignment="1">
      <alignment horizontal="left" vertical="top" wrapText="1"/>
    </xf>
    <xf numFmtId="167" fontId="0" fillId="0" borderId="6" xfId="0" applyNumberFormat="1" applyBorder="1"/>
    <xf numFmtId="0" fontId="33" fillId="0" borderId="0" xfId="0" applyFont="1" applyBorder="1" applyAlignment="1">
      <alignment horizontal="left" vertical="top" wrapText="1"/>
    </xf>
    <xf numFmtId="170" fontId="33" fillId="0" borderId="0" xfId="29" applyNumberFormat="1" applyFont="1" applyFill="1" applyBorder="1"/>
    <xf numFmtId="9" fontId="0" fillId="0" borderId="0" xfId="0" applyNumberFormat="1"/>
    <xf numFmtId="166" fontId="2" fillId="0" borderId="0" xfId="0" applyNumberFormat="1" applyFont="1"/>
    <xf numFmtId="0" fontId="53" fillId="0" borderId="0" xfId="0" applyFont="1" applyFill="1"/>
    <xf numFmtId="170" fontId="53" fillId="0" borderId="0" xfId="0" applyNumberFormat="1" applyFont="1" applyBorder="1"/>
    <xf numFmtId="0" fontId="53" fillId="0" borderId="0" xfId="0" applyFont="1"/>
    <xf numFmtId="8" fontId="0" fillId="0" borderId="0" xfId="0" applyNumberFormat="1"/>
    <xf numFmtId="2" fontId="46" fillId="0" borderId="0" xfId="0" applyNumberFormat="1" applyFont="1" applyBorder="1"/>
    <xf numFmtId="9" fontId="46" fillId="0" borderId="0" xfId="0" applyNumberFormat="1" applyFont="1" applyBorder="1"/>
    <xf numFmtId="0" fontId="43" fillId="0" borderId="6" xfId="0" applyFont="1" applyBorder="1" applyAlignment="1">
      <alignment horizontal="left"/>
    </xf>
    <xf numFmtId="9" fontId="2" fillId="0" borderId="0" xfId="0" applyNumberFormat="1" applyFont="1" applyFill="1"/>
    <xf numFmtId="167" fontId="7" fillId="0" borderId="6" xfId="0" applyNumberFormat="1" applyFont="1" applyFill="1" applyBorder="1" applyAlignment="1">
      <alignment horizontal="right"/>
    </xf>
    <xf numFmtId="1" fontId="0" fillId="0" borderId="0" xfId="0" applyNumberFormat="1" applyFill="1"/>
    <xf numFmtId="10" fontId="2" fillId="0" borderId="0" xfId="0" applyNumberFormat="1" applyFont="1"/>
    <xf numFmtId="1" fontId="46" fillId="0" borderId="0" xfId="0" applyNumberFormat="1" applyFont="1" applyFill="1"/>
    <xf numFmtId="1" fontId="46" fillId="0" borderId="0" xfId="0" applyNumberFormat="1" applyFont="1"/>
    <xf numFmtId="168" fontId="46" fillId="0" borderId="0" xfId="0" applyNumberFormat="1" applyFont="1"/>
    <xf numFmtId="3" fontId="0" fillId="0" borderId="6" xfId="0" applyNumberFormat="1" applyBorder="1"/>
    <xf numFmtId="172" fontId="45" fillId="0" borderId="0" xfId="0" applyNumberFormat="1" applyFont="1" applyBorder="1"/>
    <xf numFmtId="0" fontId="55" fillId="0" borderId="0" xfId="0" applyFont="1" applyFill="1"/>
    <xf numFmtId="0" fontId="56" fillId="0" borderId="0" xfId="0" applyFont="1" applyFill="1" applyBorder="1" applyAlignment="1">
      <alignment horizontal="left"/>
    </xf>
    <xf numFmtId="170" fontId="56" fillId="0" borderId="0" xfId="0" applyNumberFormat="1" applyFont="1" applyBorder="1"/>
    <xf numFmtId="0" fontId="55" fillId="0" borderId="0" xfId="0" applyFont="1"/>
    <xf numFmtId="0" fontId="57" fillId="0" borderId="0" xfId="0" applyFont="1" applyFill="1"/>
    <xf numFmtId="170" fontId="57" fillId="0" borderId="0" xfId="0" applyNumberFormat="1" applyFont="1" applyFill="1"/>
    <xf numFmtId="0" fontId="57" fillId="0" borderId="0" xfId="0" applyFont="1"/>
    <xf numFmtId="0" fontId="57" fillId="0" borderId="0" xfId="0" applyFont="1" applyBorder="1"/>
    <xf numFmtId="0" fontId="57" fillId="0" borderId="0" xfId="0" applyFont="1" applyFill="1" applyBorder="1" applyAlignment="1">
      <alignment horizontal="left"/>
    </xf>
    <xf numFmtId="170" fontId="57" fillId="0" borderId="0" xfId="0" applyNumberFormat="1" applyFont="1" applyBorder="1"/>
    <xf numFmtId="3" fontId="57" fillId="0" borderId="0" xfId="0" applyNumberFormat="1" applyFont="1" applyFill="1" applyBorder="1"/>
    <xf numFmtId="0" fontId="57" fillId="0" borderId="0" xfId="0" applyFont="1" applyFill="1" applyBorder="1" applyAlignment="1">
      <alignment horizontal="right"/>
    </xf>
    <xf numFmtId="0" fontId="57" fillId="0" borderId="0" xfId="0" applyFont="1" applyFill="1" applyBorder="1"/>
    <xf numFmtId="170" fontId="58" fillId="0" borderId="0" xfId="0" applyNumberFormat="1" applyFont="1" applyFill="1"/>
    <xf numFmtId="164" fontId="57" fillId="0" borderId="0" xfId="29" applyNumberFormat="1" applyFont="1" applyFill="1" applyBorder="1"/>
    <xf numFmtId="164" fontId="57" fillId="0" borderId="0" xfId="29" applyNumberFormat="1" applyFont="1" applyFill="1"/>
    <xf numFmtId="0" fontId="5" fillId="0" borderId="0" xfId="0" applyFont="1" applyFill="1" applyAlignment="1">
      <alignment horizontal="center"/>
    </xf>
    <xf numFmtId="2" fontId="0" fillId="0" borderId="0" xfId="0" applyNumberFormat="1"/>
    <xf numFmtId="10" fontId="0" fillId="0" borderId="0" xfId="70" applyNumberFormat="1" applyFont="1"/>
    <xf numFmtId="165" fontId="7" fillId="0" borderId="0" xfId="0" applyNumberFormat="1" applyFont="1" applyProtection="1"/>
    <xf numFmtId="169" fontId="7" fillId="0" borderId="0" xfId="0" applyNumberFormat="1" applyFont="1"/>
    <xf numFmtId="0" fontId="7" fillId="0" borderId="0" xfId="0" applyFont="1" applyAlignment="1">
      <alignment horizontal="center"/>
    </xf>
    <xf numFmtId="0" fontId="0" fillId="30" borderId="0" xfId="0" applyFill="1"/>
    <xf numFmtId="10" fontId="0" fillId="0" borderId="0" xfId="0" applyNumberFormat="1"/>
    <xf numFmtId="9" fontId="0" fillId="30" borderId="0" xfId="0" applyNumberFormat="1" applyFill="1"/>
    <xf numFmtId="0" fontId="0" fillId="30" borderId="0" xfId="0" applyFill="1" applyAlignment="1">
      <alignment horizontal="left" indent="1"/>
    </xf>
    <xf numFmtId="8" fontId="0" fillId="31" borderId="0" xfId="0" applyNumberFormat="1" applyFill="1"/>
    <xf numFmtId="0" fontId="0" fillId="32" borderId="0" xfId="0" applyFill="1"/>
    <xf numFmtId="0" fontId="59" fillId="0" borderId="0" xfId="0" applyFont="1"/>
    <xf numFmtId="0" fontId="0" fillId="0" borderId="0" xfId="0" applyAlignment="1">
      <alignment wrapText="1"/>
    </xf>
    <xf numFmtId="0" fontId="2" fillId="0" borderId="6" xfId="0" applyFont="1" applyBorder="1" applyAlignment="1">
      <alignment wrapText="1"/>
    </xf>
    <xf numFmtId="0" fontId="0" fillId="0" borderId="16" xfId="0" applyBorder="1" applyAlignment="1">
      <alignment wrapText="1"/>
    </xf>
    <xf numFmtId="0" fontId="2" fillId="0" borderId="6" xfId="0" applyFont="1" applyBorder="1" applyAlignment="1">
      <alignment vertical="top" wrapText="1"/>
    </xf>
    <xf numFmtId="0" fontId="0" fillId="0" borderId="16" xfId="0" applyBorder="1" applyAlignment="1">
      <alignment vertical="top" wrapText="1"/>
    </xf>
    <xf numFmtId="0" fontId="0" fillId="0" borderId="0" xfId="0" applyAlignment="1">
      <alignment vertical="top" wrapText="1"/>
    </xf>
    <xf numFmtId="0" fontId="60" fillId="0" borderId="0" xfId="0" applyFont="1"/>
    <xf numFmtId="0" fontId="3" fillId="33" borderId="16" xfId="0" applyFont="1" applyFill="1" applyBorder="1" applyAlignment="1">
      <alignment horizontal="left" vertical="center"/>
    </xf>
    <xf numFmtId="0" fontId="3" fillId="23" borderId="20" xfId="0" applyFont="1" applyFill="1" applyBorder="1" applyAlignment="1">
      <alignment horizontal="center" vertical="center"/>
    </xf>
    <xf numFmtId="0" fontId="3" fillId="23" borderId="21" xfId="0" applyFont="1" applyFill="1" applyBorder="1" applyAlignment="1">
      <alignment horizontal="center" vertical="center"/>
    </xf>
    <xf numFmtId="0" fontId="3" fillId="23" borderId="19" xfId="0" applyFont="1" applyFill="1" applyBorder="1" applyAlignment="1">
      <alignment horizontal="center" vertical="center"/>
    </xf>
    <xf numFmtId="37" fontId="0" fillId="0" borderId="0" xfId="0" applyNumberFormat="1"/>
    <xf numFmtId="3" fontId="0" fillId="0" borderId="0" xfId="0" applyNumberFormat="1" applyBorder="1"/>
    <xf numFmtId="9" fontId="3" fillId="0" borderId="0" xfId="0" applyNumberFormat="1" applyFont="1" applyFill="1" applyBorder="1" applyAlignment="1">
      <alignment horizontal="center" vertical="center"/>
    </xf>
    <xf numFmtId="179" fontId="3" fillId="0" borderId="0" xfId="0" applyNumberFormat="1" applyFont="1" applyFill="1" applyBorder="1" applyAlignment="1">
      <alignment horizontal="center" vertical="center"/>
    </xf>
    <xf numFmtId="0" fontId="52" fillId="33" borderId="8" xfId="71" applyFont="1" applyFill="1" applyBorder="1" applyAlignment="1"/>
    <xf numFmtId="3" fontId="52" fillId="33" borderId="8" xfId="71" applyNumberFormat="1" applyFont="1" applyFill="1" applyBorder="1" applyAlignment="1">
      <alignment horizontal="right"/>
    </xf>
    <xf numFmtId="3" fontId="52" fillId="33" borderId="0" xfId="71" applyNumberFormat="1" applyFill="1" applyAlignment="1"/>
    <xf numFmtId="0" fontId="61" fillId="0" borderId="22" xfId="71" applyFont="1" applyFill="1" applyBorder="1" applyAlignment="1">
      <alignment horizontal="center"/>
    </xf>
    <xf numFmtId="0" fontId="62" fillId="0" borderId="0" xfId="0" applyFont="1" applyFill="1" applyAlignment="1"/>
    <xf numFmtId="0" fontId="0" fillId="0" borderId="0" xfId="0" applyFill="1" applyAlignment="1"/>
    <xf numFmtId="0" fontId="63" fillId="32" borderId="0" xfId="0" applyFont="1" applyFill="1"/>
    <xf numFmtId="179" fontId="0" fillId="0" borderId="0" xfId="70" applyNumberFormat="1" applyFont="1"/>
    <xf numFmtId="180" fontId="0" fillId="0" borderId="0" xfId="0" applyNumberFormat="1"/>
    <xf numFmtId="0" fontId="64" fillId="0" borderId="0" xfId="0" applyFont="1"/>
    <xf numFmtId="0" fontId="63" fillId="0" borderId="23" xfId="0" applyFont="1" applyBorder="1" applyAlignment="1">
      <alignment horizontal="center"/>
    </xf>
    <xf numFmtId="0" fontId="63" fillId="0" borderId="24" xfId="0" applyFont="1" applyBorder="1" applyAlignment="1">
      <alignment horizontal="center"/>
    </xf>
    <xf numFmtId="0" fontId="63" fillId="0" borderId="25" xfId="0" applyFont="1" applyBorder="1" applyAlignment="1">
      <alignment horizontal="center"/>
    </xf>
    <xf numFmtId="0" fontId="63" fillId="0" borderId="26" xfId="0" applyFont="1" applyBorder="1" applyAlignment="1">
      <alignment horizontal="center"/>
    </xf>
    <xf numFmtId="0" fontId="63" fillId="0" borderId="27" xfId="0" applyFont="1" applyBorder="1" applyAlignment="1">
      <alignment horizontal="center"/>
    </xf>
    <xf numFmtId="0" fontId="63" fillId="0" borderId="28" xfId="0" applyFont="1"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4" xfId="0" applyBorder="1" applyAlignment="1">
      <alignment horizontal="center"/>
    </xf>
    <xf numFmtId="0" fontId="0" fillId="0" borderId="35" xfId="0" applyBorder="1" applyAlignment="1">
      <alignment horizontal="center"/>
    </xf>
    <xf numFmtId="0" fontId="0" fillId="0" borderId="36" xfId="0" applyBorder="1" applyAlignment="1">
      <alignment horizontal="center"/>
    </xf>
    <xf numFmtId="0" fontId="63" fillId="0" borderId="37" xfId="0" applyFont="1" applyBorder="1" applyAlignment="1">
      <alignment horizontal="center"/>
    </xf>
    <xf numFmtId="0" fontId="63" fillId="0" borderId="33" xfId="0" applyFont="1" applyBorder="1" applyAlignment="1">
      <alignment horizontal="center"/>
    </xf>
    <xf numFmtId="0" fontId="63" fillId="0" borderId="38" xfId="0" applyFont="1" applyBorder="1" applyAlignment="1">
      <alignment horizontal="center"/>
    </xf>
    <xf numFmtId="0" fontId="0" fillId="0" borderId="39" xfId="0" applyBorder="1" applyAlignment="1">
      <alignment horizontal="center"/>
    </xf>
    <xf numFmtId="0" fontId="0" fillId="0" borderId="40" xfId="0" applyBorder="1" applyAlignment="1">
      <alignment horizontal="center"/>
    </xf>
    <xf numFmtId="0" fontId="0" fillId="0" borderId="41" xfId="0" applyBorder="1" applyAlignment="1">
      <alignment horizontal="center"/>
    </xf>
    <xf numFmtId="0" fontId="0" fillId="0" borderId="0" xfId="0" applyFill="1" applyBorder="1" applyAlignment="1">
      <alignment horizontal="left"/>
    </xf>
    <xf numFmtId="0" fontId="2" fillId="0" borderId="0" xfId="0" applyFont="1" applyFill="1" applyBorder="1" applyAlignment="1">
      <alignment horizontal="left"/>
    </xf>
    <xf numFmtId="0" fontId="2" fillId="0" borderId="0" xfId="0" applyFont="1" applyAlignment="1">
      <alignment horizontal="center"/>
    </xf>
    <xf numFmtId="0" fontId="63" fillId="0" borderId="29" xfId="0" applyFont="1" applyBorder="1" applyAlignment="1">
      <alignment horizontal="center"/>
    </xf>
    <xf numFmtId="0" fontId="0" fillId="0" borderId="42" xfId="0" applyBorder="1" applyAlignment="1">
      <alignment horizontal="center"/>
    </xf>
    <xf numFmtId="0" fontId="0" fillId="0" borderId="43" xfId="0" applyBorder="1" applyAlignment="1">
      <alignment horizontal="center"/>
    </xf>
    <xf numFmtId="0" fontId="0" fillId="0" borderId="37" xfId="0" applyBorder="1" applyAlignment="1">
      <alignment horizontal="center"/>
    </xf>
    <xf numFmtId="0" fontId="63" fillId="0" borderId="44" xfId="0" applyFont="1" applyBorder="1" applyAlignment="1">
      <alignment horizontal="center"/>
    </xf>
    <xf numFmtId="0" fontId="0" fillId="0" borderId="45" xfId="0" applyBorder="1" applyAlignment="1">
      <alignment horizontal="center"/>
    </xf>
    <xf numFmtId="0" fontId="0" fillId="0" borderId="0" xfId="0" applyBorder="1" applyAlignment="1">
      <alignment horizontal="center"/>
    </xf>
    <xf numFmtId="168" fontId="0" fillId="0" borderId="0" xfId="0" applyNumberFormat="1"/>
    <xf numFmtId="179" fontId="0" fillId="32" borderId="0" xfId="70" applyNumberFormat="1" applyFont="1" applyFill="1"/>
    <xf numFmtId="179" fontId="2" fillId="32" borderId="0" xfId="70" applyNumberFormat="1" applyFont="1" applyFill="1"/>
    <xf numFmtId="0" fontId="0" fillId="0" borderId="0" xfId="0" applyAlignment="1">
      <alignment vertical="top"/>
    </xf>
    <xf numFmtId="0" fontId="5" fillId="33" borderId="0" xfId="0" applyFont="1" applyFill="1" applyAlignment="1">
      <alignment vertical="top"/>
    </xf>
    <xf numFmtId="0" fontId="46" fillId="0" borderId="0" xfId="0" applyFont="1" applyAlignment="1">
      <alignment vertical="top"/>
    </xf>
    <xf numFmtId="0" fontId="5" fillId="35" borderId="0" xfId="0" applyFont="1" applyFill="1" applyAlignment="1">
      <alignment vertical="top"/>
    </xf>
    <xf numFmtId="0" fontId="5" fillId="36" borderId="0" xfId="0" applyFont="1" applyFill="1" applyAlignment="1">
      <alignment vertical="top"/>
    </xf>
    <xf numFmtId="0" fontId="54" fillId="0" borderId="0" xfId="0" applyFont="1"/>
    <xf numFmtId="0" fontId="0" fillId="0" borderId="0" xfId="0" applyAlignment="1">
      <alignment horizontal="left" indent="1"/>
    </xf>
    <xf numFmtId="0" fontId="0" fillId="0" borderId="30" xfId="0" applyBorder="1"/>
    <xf numFmtId="0" fontId="2" fillId="0" borderId="30" xfId="0" applyFont="1" applyBorder="1"/>
    <xf numFmtId="168" fontId="0" fillId="0" borderId="30" xfId="0" applyNumberFormat="1" applyBorder="1"/>
    <xf numFmtId="9" fontId="0" fillId="0" borderId="30" xfId="0" applyNumberFormat="1" applyBorder="1"/>
    <xf numFmtId="0" fontId="46" fillId="0" borderId="0" xfId="0" applyFont="1" applyFill="1" applyBorder="1" applyAlignment="1">
      <alignment horizontal="left" wrapText="1" indent="2"/>
    </xf>
    <xf numFmtId="0" fontId="0" fillId="33" borderId="0" xfId="0" applyFill="1" applyAlignment="1">
      <alignment horizontal="center"/>
    </xf>
    <xf numFmtId="0" fontId="2" fillId="33" borderId="0" xfId="0" applyFont="1" applyFill="1" applyAlignment="1">
      <alignment horizontal="center"/>
    </xf>
    <xf numFmtId="0" fontId="0" fillId="33" borderId="0" xfId="0" applyFill="1"/>
    <xf numFmtId="0" fontId="7" fillId="33" borderId="0" xfId="0" applyFont="1" applyFill="1"/>
    <xf numFmtId="0" fontId="55" fillId="33" borderId="0" xfId="0" applyFont="1" applyFill="1"/>
    <xf numFmtId="0" fontId="46" fillId="33" borderId="0" xfId="0" applyFont="1" applyFill="1"/>
    <xf numFmtId="0" fontId="45" fillId="33" borderId="0" xfId="0" applyFont="1" applyFill="1"/>
    <xf numFmtId="0" fontId="53" fillId="33" borderId="0" xfId="0" applyFont="1" applyFill="1"/>
    <xf numFmtId="0" fontId="33" fillId="33" borderId="0" xfId="0" applyFont="1" applyFill="1"/>
    <xf numFmtId="0" fontId="57" fillId="33" borderId="0" xfId="0" applyFont="1" applyFill="1"/>
    <xf numFmtId="0" fontId="0" fillId="36" borderId="0" xfId="0" applyFill="1" applyAlignment="1">
      <alignment horizontal="center"/>
    </xf>
    <xf numFmtId="0" fontId="0" fillId="36" borderId="0" xfId="0" applyFill="1"/>
    <xf numFmtId="170" fontId="55" fillId="36" borderId="0" xfId="0" applyNumberFormat="1" applyFont="1" applyFill="1"/>
    <xf numFmtId="0" fontId="46" fillId="36" borderId="0" xfId="0" applyFont="1" applyFill="1"/>
    <xf numFmtId="170" fontId="53" fillId="36" borderId="0" xfId="0" applyNumberFormat="1" applyFont="1" applyFill="1"/>
    <xf numFmtId="3" fontId="45" fillId="36" borderId="0" xfId="0" applyNumberFormat="1" applyFont="1" applyFill="1"/>
    <xf numFmtId="170" fontId="33" fillId="36" borderId="0" xfId="0" applyNumberFormat="1" applyFont="1" applyFill="1"/>
    <xf numFmtId="0" fontId="45" fillId="36" borderId="0" xfId="0" applyFont="1" applyFill="1"/>
    <xf numFmtId="0" fontId="53" fillId="36" borderId="0" xfId="0" applyFont="1" applyFill="1"/>
    <xf numFmtId="44" fontId="45" fillId="33" borderId="0" xfId="69" applyFont="1" applyFill="1"/>
    <xf numFmtId="0" fontId="45" fillId="0" borderId="0" xfId="0" applyFont="1" applyFill="1" applyBorder="1" applyAlignment="1">
      <alignment horizontal="left" indent="2"/>
    </xf>
    <xf numFmtId="0" fontId="45" fillId="0" borderId="0" xfId="0" applyFont="1" applyAlignment="1">
      <alignment horizontal="left" indent="2"/>
    </xf>
    <xf numFmtId="0" fontId="45" fillId="0" borderId="0" xfId="0" applyFont="1" applyFill="1" applyAlignment="1">
      <alignment horizontal="left" indent="2"/>
    </xf>
    <xf numFmtId="181" fontId="0" fillId="0" borderId="0" xfId="69" applyNumberFormat="1" applyFont="1"/>
    <xf numFmtId="0" fontId="0" fillId="0" borderId="0" xfId="0" applyFont="1" applyFill="1"/>
    <xf numFmtId="9" fontId="0" fillId="32" borderId="0" xfId="0" applyNumberFormat="1" applyFill="1"/>
    <xf numFmtId="0" fontId="0" fillId="34" borderId="0" xfId="0" applyFill="1"/>
    <xf numFmtId="9" fontId="0" fillId="34" borderId="0" xfId="0" applyNumberFormat="1" applyFill="1"/>
    <xf numFmtId="168" fontId="2" fillId="0" borderId="0" xfId="0" applyNumberFormat="1" applyFont="1" applyFill="1"/>
    <xf numFmtId="44" fontId="46" fillId="0" borderId="0" xfId="0" applyNumberFormat="1" applyFont="1" applyFill="1"/>
    <xf numFmtId="3" fontId="0" fillId="0" borderId="0" xfId="0" applyNumberFormat="1" applyFill="1"/>
    <xf numFmtId="10" fontId="0" fillId="0" borderId="0" xfId="70" applyNumberFormat="1" applyFont="1" applyFill="1"/>
    <xf numFmtId="170" fontId="0" fillId="0" borderId="0" xfId="0" applyNumberFormat="1" applyFill="1"/>
    <xf numFmtId="0" fontId="2" fillId="0" borderId="0" xfId="0" applyFont="1" applyFill="1"/>
    <xf numFmtId="8" fontId="2" fillId="0" borderId="0" xfId="0" applyNumberFormat="1" applyFont="1" applyFill="1"/>
    <xf numFmtId="44" fontId="0" fillId="33" borderId="0" xfId="69" applyFont="1" applyFill="1"/>
    <xf numFmtId="1" fontId="0" fillId="33" borderId="0" xfId="0" applyNumberFormat="1" applyFill="1"/>
    <xf numFmtId="2" fontId="2" fillId="0" borderId="0" xfId="0" applyNumberFormat="1" applyFont="1"/>
    <xf numFmtId="165" fontId="66" fillId="0" borderId="0" xfId="0" applyNumberFormat="1" applyFont="1" applyProtection="1"/>
    <xf numFmtId="0" fontId="66" fillId="0" borderId="0" xfId="0" applyFont="1"/>
    <xf numFmtId="168" fontId="46" fillId="0" borderId="0" xfId="0" applyNumberFormat="1" applyFont="1" applyFill="1"/>
    <xf numFmtId="169" fontId="2" fillId="0" borderId="0" xfId="0" applyNumberFormat="1" applyFont="1"/>
    <xf numFmtId="182" fontId="2" fillId="0" borderId="0" xfId="0" applyNumberFormat="1" applyFont="1"/>
    <xf numFmtId="169" fontId="45" fillId="33" borderId="0" xfId="0" applyNumberFormat="1" applyFont="1" applyFill="1"/>
    <xf numFmtId="182" fontId="45" fillId="33" borderId="0" xfId="0" applyNumberFormat="1" applyFont="1" applyFill="1"/>
    <xf numFmtId="182" fontId="46" fillId="0" borderId="0" xfId="0" applyNumberFormat="1" applyFont="1" applyFill="1"/>
    <xf numFmtId="0" fontId="45" fillId="0" borderId="0" xfId="0" applyFont="1" applyAlignment="1">
      <alignment horizontal="left"/>
    </xf>
    <xf numFmtId="8" fontId="0" fillId="0" borderId="0" xfId="0" applyNumberFormat="1" applyAlignment="1"/>
    <xf numFmtId="0" fontId="2" fillId="0" borderId="0" xfId="41" applyFont="1" applyFill="1" applyAlignment="1" applyProtection="1"/>
    <xf numFmtId="8" fontId="45" fillId="33" borderId="0" xfId="0" applyNumberFormat="1" applyFont="1" applyFill="1"/>
    <xf numFmtId="9" fontId="0" fillId="37" borderId="0" xfId="0" applyNumberFormat="1" applyFill="1"/>
    <xf numFmtId="8" fontId="45" fillId="0" borderId="0" xfId="0" applyNumberFormat="1" applyFont="1" applyFill="1"/>
    <xf numFmtId="0" fontId="2" fillId="0" borderId="0" xfId="0" applyFont="1" applyAlignment="1">
      <alignment horizontal="left"/>
    </xf>
    <xf numFmtId="2" fontId="0" fillId="0" borderId="0" xfId="0" applyNumberFormat="1" applyFill="1"/>
    <xf numFmtId="8" fontId="0" fillId="33" borderId="0" xfId="0" applyNumberFormat="1" applyFill="1"/>
    <xf numFmtId="9" fontId="46" fillId="33" borderId="0" xfId="70" applyFont="1" applyFill="1"/>
    <xf numFmtId="8" fontId="45" fillId="33" borderId="0" xfId="69" applyNumberFormat="1" applyFont="1" applyFill="1"/>
    <xf numFmtId="0" fontId="0" fillId="38" borderId="0" xfId="0" applyFill="1"/>
    <xf numFmtId="0" fontId="55" fillId="38" borderId="0" xfId="0" applyFont="1" applyFill="1"/>
    <xf numFmtId="0" fontId="46" fillId="38" borderId="0" xfId="0" applyFont="1" applyFill="1"/>
    <xf numFmtId="1" fontId="46" fillId="38" borderId="0" xfId="0" applyNumberFormat="1" applyFont="1" applyFill="1" applyBorder="1"/>
    <xf numFmtId="168" fontId="46" fillId="38" borderId="0" xfId="0" applyNumberFormat="1" applyFont="1" applyFill="1"/>
    <xf numFmtId="44" fontId="46" fillId="38" borderId="0" xfId="0" applyNumberFormat="1" applyFont="1" applyFill="1"/>
    <xf numFmtId="1" fontId="46" fillId="38" borderId="0" xfId="0" applyNumberFormat="1" applyFont="1" applyFill="1"/>
    <xf numFmtId="8" fontId="45" fillId="38" borderId="0" xfId="0" applyNumberFormat="1" applyFont="1" applyFill="1"/>
    <xf numFmtId="0" fontId="33" fillId="38" borderId="0" xfId="0" applyFont="1" applyFill="1"/>
    <xf numFmtId="0" fontId="45" fillId="38" borderId="0" xfId="0" applyFont="1" applyFill="1"/>
    <xf numFmtId="182" fontId="46" fillId="38" borderId="0" xfId="0" applyNumberFormat="1" applyFont="1" applyFill="1"/>
    <xf numFmtId="170" fontId="33" fillId="38" borderId="0" xfId="0" applyNumberFormat="1" applyFont="1" applyFill="1" applyBorder="1"/>
    <xf numFmtId="0" fontId="53" fillId="38" borderId="0" xfId="0" applyFont="1" applyFill="1"/>
    <xf numFmtId="172" fontId="45" fillId="38" borderId="0" xfId="0" applyNumberFormat="1" applyFont="1" applyFill="1" applyBorder="1"/>
    <xf numFmtId="0" fontId="57" fillId="38" borderId="0" xfId="0" applyFont="1" applyFill="1"/>
    <xf numFmtId="0" fontId="0" fillId="0" borderId="30" xfId="0" applyFill="1" applyBorder="1"/>
    <xf numFmtId="0" fontId="0" fillId="0" borderId="30" xfId="0" applyBorder="1" applyAlignment="1">
      <alignment horizontal="left" indent="2"/>
    </xf>
    <xf numFmtId="184" fontId="0" fillId="0" borderId="0" xfId="0" applyNumberFormat="1"/>
    <xf numFmtId="183" fontId="46" fillId="0" borderId="0" xfId="0" applyNumberFormat="1" applyFont="1"/>
    <xf numFmtId="44" fontId="46" fillId="0" borderId="0" xfId="69" applyFont="1"/>
    <xf numFmtId="4" fontId="57" fillId="0" borderId="0" xfId="0" applyNumberFormat="1" applyFont="1" applyFill="1"/>
    <xf numFmtId="0" fontId="58" fillId="0" borderId="0" xfId="0" applyFont="1" applyFill="1" applyBorder="1" applyAlignment="1">
      <alignment horizontal="left"/>
    </xf>
    <xf numFmtId="0" fontId="45" fillId="0" borderId="0" xfId="0" applyFont="1" applyFill="1" applyBorder="1" applyAlignment="1">
      <alignment horizontal="left" wrapText="1" indent="2"/>
    </xf>
    <xf numFmtId="44" fontId="46" fillId="33" borderId="0" xfId="69" applyNumberFormat="1" applyFont="1" applyFill="1"/>
    <xf numFmtId="44" fontId="33" fillId="0" borderId="0" xfId="0" applyNumberFormat="1" applyFont="1" applyFill="1"/>
    <xf numFmtId="44" fontId="33" fillId="38" borderId="0" xfId="0" applyNumberFormat="1" applyFont="1" applyFill="1"/>
    <xf numFmtId="185" fontId="46" fillId="33" borderId="0" xfId="69" applyNumberFormat="1" applyFont="1" applyFill="1"/>
    <xf numFmtId="8" fontId="46" fillId="0" borderId="0" xfId="0" applyNumberFormat="1" applyFont="1"/>
    <xf numFmtId="6" fontId="33" fillId="0" borderId="0" xfId="0" applyNumberFormat="1" applyFont="1" applyFill="1"/>
    <xf numFmtId="170" fontId="67" fillId="36" borderId="0" xfId="0" applyNumberFormat="1" applyFont="1" applyFill="1"/>
    <xf numFmtId="0" fontId="67" fillId="0" borderId="0" xfId="0" applyFont="1" applyFill="1" applyAlignment="1">
      <alignment horizontal="left"/>
    </xf>
    <xf numFmtId="6" fontId="2" fillId="0" borderId="0" xfId="69" applyNumberFormat="1" applyFont="1"/>
    <xf numFmtId="1" fontId="46" fillId="0" borderId="0" xfId="0" applyNumberFormat="1" applyFont="1" applyFill="1" applyBorder="1"/>
    <xf numFmtId="0" fontId="0" fillId="0" borderId="0" xfId="0" applyFill="1" applyBorder="1"/>
    <xf numFmtId="0" fontId="33" fillId="0" borderId="0" xfId="0" applyFont="1" applyFill="1" applyBorder="1" applyAlignment="1">
      <alignment horizontal="left"/>
    </xf>
    <xf numFmtId="0" fontId="2" fillId="26" borderId="0" xfId="0" applyFont="1" applyFill="1"/>
    <xf numFmtId="169" fontId="0" fillId="0" borderId="0" xfId="0" applyNumberFormat="1" applyAlignment="1">
      <alignment horizontal="center"/>
    </xf>
    <xf numFmtId="2" fontId="45" fillId="0" borderId="0" xfId="0" applyNumberFormat="1" applyFont="1" applyFill="1"/>
    <xf numFmtId="0" fontId="45" fillId="0" borderId="0" xfId="0" applyFont="1" applyAlignment="1">
      <alignment horizontal="left" indent="3"/>
    </xf>
    <xf numFmtId="182" fontId="45" fillId="0" borderId="0" xfId="0" applyNumberFormat="1" applyFont="1" applyFill="1"/>
    <xf numFmtId="2" fontId="45" fillId="38" borderId="0" xfId="0" applyNumberFormat="1" applyFont="1" applyFill="1"/>
    <xf numFmtId="182" fontId="45" fillId="38" borderId="0" xfId="0" applyNumberFormat="1" applyFont="1" applyFill="1"/>
    <xf numFmtId="186" fontId="58" fillId="36" borderId="0" xfId="0" applyNumberFormat="1" applyFont="1" applyFill="1"/>
    <xf numFmtId="9" fontId="0" fillId="0" borderId="0" xfId="0" applyNumberFormat="1" applyFill="1"/>
    <xf numFmtId="6" fontId="45" fillId="0" borderId="0" xfId="0" applyNumberFormat="1" applyFont="1" applyFill="1"/>
    <xf numFmtId="182" fontId="46" fillId="0" borderId="0" xfId="0" applyNumberFormat="1" applyFont="1" applyBorder="1"/>
    <xf numFmtId="0" fontId="0" fillId="0" borderId="0" xfId="0" applyFont="1" applyFill="1" applyBorder="1" applyAlignment="1">
      <alignment horizontal="left" indent="2"/>
    </xf>
    <xf numFmtId="6" fontId="45" fillId="33" borderId="0" xfId="0" applyNumberFormat="1" applyFont="1" applyFill="1"/>
    <xf numFmtId="3" fontId="1" fillId="0" borderId="0" xfId="0" applyNumberFormat="1" applyFont="1"/>
    <xf numFmtId="0" fontId="2" fillId="0" borderId="0" xfId="72"/>
    <xf numFmtId="0" fontId="68" fillId="39" borderId="46" xfId="72" applyFont="1" applyFill="1" applyBorder="1" applyAlignment="1">
      <alignment horizontal="center" vertical="top" wrapText="1" readingOrder="1"/>
    </xf>
    <xf numFmtId="0" fontId="2" fillId="0" borderId="0" xfId="72" applyFont="1"/>
    <xf numFmtId="187" fontId="2" fillId="0" borderId="0" xfId="72" applyNumberFormat="1" applyFont="1"/>
    <xf numFmtId="2" fontId="0" fillId="0" borderId="0" xfId="0" applyNumberFormat="1" applyAlignment="1">
      <alignment horizontal="right"/>
    </xf>
    <xf numFmtId="6" fontId="46" fillId="0" borderId="0" xfId="0" applyNumberFormat="1" applyFont="1" applyFill="1"/>
    <xf numFmtId="181" fontId="33" fillId="0" borderId="0" xfId="0" applyNumberFormat="1" applyFont="1" applyFill="1"/>
    <xf numFmtId="181" fontId="33" fillId="38" borderId="0" xfId="0" applyNumberFormat="1" applyFont="1" applyFill="1"/>
    <xf numFmtId="6" fontId="33" fillId="38" borderId="0" xfId="0" applyNumberFormat="1" applyFont="1" applyFill="1"/>
    <xf numFmtId="0" fontId="2" fillId="0" borderId="0" xfId="0" applyFont="1" applyFill="1" applyBorder="1" applyAlignment="1">
      <alignment horizontal="left" indent="2"/>
    </xf>
    <xf numFmtId="0" fontId="5" fillId="40" borderId="0" xfId="0" applyFont="1" applyFill="1" applyAlignment="1">
      <alignment horizontal="center"/>
    </xf>
    <xf numFmtId="171" fontId="0" fillId="0" borderId="0" xfId="0" applyNumberFormat="1"/>
    <xf numFmtId="188" fontId="45" fillId="33" borderId="0" xfId="0" applyNumberFormat="1" applyFont="1" applyFill="1"/>
    <xf numFmtId="44" fontId="0" fillId="0" borderId="0" xfId="69" applyFont="1" applyFill="1"/>
    <xf numFmtId="8" fontId="0" fillId="0" borderId="0" xfId="0" applyNumberFormat="1" applyFill="1"/>
    <xf numFmtId="8" fontId="57" fillId="0" borderId="0" xfId="0" applyNumberFormat="1" applyFont="1" applyFill="1"/>
    <xf numFmtId="44" fontId="57" fillId="0" borderId="0" xfId="0" applyNumberFormat="1" applyFont="1" applyFill="1"/>
    <xf numFmtId="0" fontId="69" fillId="0" borderId="0" xfId="0" applyFont="1"/>
    <xf numFmtId="8" fontId="46" fillId="0" borderId="0" xfId="0" applyNumberFormat="1" applyFont="1" applyFill="1"/>
    <xf numFmtId="8" fontId="57" fillId="41" borderId="0" xfId="0" applyNumberFormat="1" applyFont="1" applyFill="1"/>
    <xf numFmtId="8" fontId="46" fillId="41" borderId="0" xfId="0" applyNumberFormat="1" applyFont="1" applyFill="1"/>
    <xf numFmtId="0" fontId="46" fillId="41" borderId="0" xfId="0" applyFont="1" applyFill="1"/>
    <xf numFmtId="44" fontId="46" fillId="41" borderId="0" xfId="0" applyNumberFormat="1" applyFont="1" applyFill="1"/>
    <xf numFmtId="0" fontId="45" fillId="41" borderId="0" xfId="0" applyFont="1" applyFill="1"/>
    <xf numFmtId="0" fontId="0" fillId="42" borderId="0" xfId="0" applyFill="1" applyAlignment="1">
      <alignment horizontal="center"/>
    </xf>
    <xf numFmtId="0" fontId="0" fillId="42" borderId="0" xfId="0" applyFill="1"/>
    <xf numFmtId="6" fontId="2" fillId="42" borderId="0" xfId="69" applyNumberFormat="1" applyFont="1" applyFill="1"/>
    <xf numFmtId="0" fontId="55" fillId="42" borderId="0" xfId="0" applyFont="1" applyFill="1"/>
    <xf numFmtId="0" fontId="46" fillId="42" borderId="0" xfId="0" applyFont="1" applyFill="1"/>
    <xf numFmtId="1" fontId="46" fillId="42" borderId="0" xfId="0" applyNumberFormat="1" applyFont="1" applyFill="1" applyBorder="1"/>
    <xf numFmtId="168" fontId="46" fillId="42" borderId="0" xfId="0" applyNumberFormat="1" applyFont="1" applyFill="1"/>
    <xf numFmtId="183" fontId="46" fillId="42" borderId="0" xfId="0" applyNumberFormat="1" applyFont="1" applyFill="1"/>
    <xf numFmtId="44" fontId="46" fillId="42" borderId="0" xfId="69" applyFont="1" applyFill="1"/>
    <xf numFmtId="1" fontId="46" fillId="42" borderId="0" xfId="0" applyNumberFormat="1" applyFont="1" applyFill="1"/>
    <xf numFmtId="181" fontId="33" fillId="42" borderId="0" xfId="0" applyNumberFormat="1" applyFont="1" applyFill="1"/>
    <xf numFmtId="2" fontId="45" fillId="42" borderId="0" xfId="0" applyNumberFormat="1" applyFont="1" applyFill="1"/>
    <xf numFmtId="8" fontId="45" fillId="42" borderId="0" xfId="0" applyNumberFormat="1" applyFont="1" applyFill="1"/>
    <xf numFmtId="6" fontId="33" fillId="42" borderId="0" xfId="0" applyNumberFormat="1" applyFont="1" applyFill="1"/>
    <xf numFmtId="44" fontId="46" fillId="42" borderId="0" xfId="0" applyNumberFormat="1" applyFont="1" applyFill="1"/>
    <xf numFmtId="44" fontId="33" fillId="42" borderId="0" xfId="0" applyNumberFormat="1" applyFont="1" applyFill="1"/>
    <xf numFmtId="182" fontId="45" fillId="42" borderId="0" xfId="0" applyNumberFormat="1" applyFont="1" applyFill="1"/>
    <xf numFmtId="182" fontId="46" fillId="42" borderId="0" xfId="0" applyNumberFormat="1" applyFont="1" applyFill="1" applyBorder="1"/>
    <xf numFmtId="0" fontId="33" fillId="42" borderId="0" xfId="0" applyFont="1" applyFill="1"/>
    <xf numFmtId="0" fontId="45" fillId="42" borderId="0" xfId="0" applyFont="1" applyFill="1"/>
    <xf numFmtId="182" fontId="46" fillId="42" borderId="0" xfId="0" applyNumberFormat="1" applyFont="1" applyFill="1"/>
    <xf numFmtId="170" fontId="33" fillId="42" borderId="0" xfId="0" applyNumberFormat="1" applyFont="1" applyFill="1" applyBorder="1"/>
    <xf numFmtId="8" fontId="46" fillId="42" borderId="0" xfId="0" applyNumberFormat="1" applyFont="1" applyFill="1"/>
    <xf numFmtId="169" fontId="46" fillId="42" borderId="0" xfId="0" applyNumberFormat="1" applyFont="1" applyFill="1" applyBorder="1"/>
    <xf numFmtId="170" fontId="46" fillId="42" borderId="0" xfId="0" applyNumberFormat="1" applyFont="1" applyFill="1" applyBorder="1"/>
    <xf numFmtId="6" fontId="46" fillId="42" borderId="0" xfId="0" applyNumberFormat="1" applyFont="1" applyFill="1"/>
    <xf numFmtId="6" fontId="45" fillId="42" borderId="0" xfId="0" applyNumberFormat="1" applyFont="1" applyFill="1"/>
    <xf numFmtId="0" fontId="53" fillId="42" borderId="0" xfId="0" applyFont="1" applyFill="1"/>
    <xf numFmtId="172" fontId="45" fillId="42" borderId="0" xfId="0" applyNumberFormat="1" applyFont="1" applyFill="1" applyBorder="1"/>
    <xf numFmtId="170" fontId="56" fillId="42" borderId="0" xfId="0" applyNumberFormat="1" applyFont="1" applyFill="1" applyBorder="1"/>
    <xf numFmtId="0" fontId="57" fillId="42" borderId="0" xfId="0" applyFont="1" applyFill="1"/>
    <xf numFmtId="8" fontId="57" fillId="42" borderId="0" xfId="0" applyNumberFormat="1" applyFont="1" applyFill="1"/>
    <xf numFmtId="44" fontId="57" fillId="42" borderId="0" xfId="0" applyNumberFormat="1" applyFont="1" applyFill="1"/>
    <xf numFmtId="6" fontId="46" fillId="0" borderId="0" xfId="0" applyNumberFormat="1" applyFont="1"/>
    <xf numFmtId="181" fontId="46" fillId="0" borderId="0" xfId="0" applyNumberFormat="1" applyFont="1"/>
    <xf numFmtId="170" fontId="46" fillId="0" borderId="0" xfId="0" applyNumberFormat="1" applyFont="1"/>
    <xf numFmtId="181" fontId="70" fillId="0" borderId="0" xfId="0" applyNumberFormat="1" applyFont="1"/>
    <xf numFmtId="166" fontId="0" fillId="42" borderId="0" xfId="0" applyNumberFormat="1" applyFill="1"/>
    <xf numFmtId="0" fontId="3" fillId="0" borderId="47" xfId="0" applyFont="1" applyFill="1" applyBorder="1" applyAlignment="1">
      <alignment horizontal="left" vertical="center"/>
    </xf>
    <xf numFmtId="37" fontId="3" fillId="0" borderId="48" xfId="0" applyNumberFormat="1" applyFont="1" applyBorder="1" applyAlignment="1">
      <alignment horizontal="center" vertical="center"/>
    </xf>
    <xf numFmtId="37" fontId="3" fillId="0" borderId="30" xfId="0" applyNumberFormat="1" applyFont="1" applyBorder="1" applyAlignment="1">
      <alignment horizontal="center" vertical="center"/>
    </xf>
    <xf numFmtId="37" fontId="3" fillId="0" borderId="49" xfId="0" applyNumberFormat="1" applyFont="1" applyBorder="1" applyAlignment="1">
      <alignment horizontal="center" vertical="center"/>
    </xf>
    <xf numFmtId="37" fontId="3" fillId="0" borderId="0" xfId="0" applyNumberFormat="1" applyFont="1" applyAlignment="1">
      <alignment horizontal="right" vertical="center"/>
    </xf>
    <xf numFmtId="0" fontId="3" fillId="0" borderId="0" xfId="0" applyFont="1" applyAlignment="1">
      <alignment horizontal="right" vertical="center"/>
    </xf>
    <xf numFmtId="10" fontId="0" fillId="0" borderId="0" xfId="70" applyNumberFormat="1" applyFont="1" applyAlignment="1">
      <alignment horizontal="center"/>
    </xf>
    <xf numFmtId="2" fontId="0" fillId="0" borderId="0" xfId="70" applyNumberFormat="1" applyFont="1"/>
    <xf numFmtId="1" fontId="45" fillId="0" borderId="0" xfId="0" applyNumberFormat="1" applyFont="1" applyBorder="1"/>
    <xf numFmtId="0" fontId="52" fillId="33" borderId="50" xfId="71" applyFont="1" applyFill="1" applyBorder="1" applyAlignment="1"/>
    <xf numFmtId="3" fontId="52" fillId="33" borderId="50" xfId="71" applyNumberFormat="1" applyFont="1" applyFill="1" applyBorder="1" applyAlignment="1">
      <alignment horizontal="right"/>
    </xf>
    <xf numFmtId="6" fontId="2" fillId="38" borderId="0" xfId="69" applyNumberFormat="1" applyFont="1" applyFill="1"/>
    <xf numFmtId="183" fontId="46" fillId="38" borderId="0" xfId="0" applyNumberFormat="1" applyFont="1" applyFill="1"/>
    <xf numFmtId="44" fontId="46" fillId="38" borderId="0" xfId="69" applyFont="1" applyFill="1"/>
    <xf numFmtId="182" fontId="46" fillId="38" borderId="0" xfId="0" applyNumberFormat="1" applyFont="1" applyFill="1" applyBorder="1"/>
    <xf numFmtId="8" fontId="46" fillId="38" borderId="0" xfId="0" applyNumberFormat="1" applyFont="1" applyFill="1"/>
    <xf numFmtId="169" fontId="46" fillId="38" borderId="0" xfId="0" applyNumberFormat="1" applyFont="1" applyFill="1" applyBorder="1"/>
    <xf numFmtId="170" fontId="46" fillId="38" borderId="0" xfId="0" applyNumberFormat="1" applyFont="1" applyFill="1" applyBorder="1"/>
    <xf numFmtId="6" fontId="46" fillId="38" borderId="0" xfId="0" applyNumberFormat="1" applyFont="1" applyFill="1"/>
    <xf numFmtId="6" fontId="45" fillId="38" borderId="0" xfId="0" applyNumberFormat="1" applyFont="1" applyFill="1"/>
    <xf numFmtId="170" fontId="56" fillId="38" borderId="0" xfId="0" applyNumberFormat="1" applyFont="1" applyFill="1" applyBorder="1"/>
    <xf numFmtId="37" fontId="0" fillId="37" borderId="0" xfId="0" applyNumberFormat="1" applyFill="1"/>
    <xf numFmtId="184" fontId="2" fillId="0" borderId="0" xfId="0" applyNumberFormat="1" applyFont="1"/>
    <xf numFmtId="0" fontId="0" fillId="33" borderId="0" xfId="0" applyFill="1" applyAlignment="1"/>
    <xf numFmtId="0" fontId="3" fillId="33" borderId="47" xfId="0" applyFont="1" applyFill="1" applyBorder="1" applyAlignment="1">
      <alignment horizontal="left" vertical="center"/>
    </xf>
    <xf numFmtId="37" fontId="3" fillId="37" borderId="48" xfId="0" applyNumberFormat="1" applyFont="1" applyFill="1" applyBorder="1" applyAlignment="1">
      <alignment horizontal="center" vertical="center"/>
    </xf>
    <xf numFmtId="37" fontId="3" fillId="37" borderId="30" xfId="0" applyNumberFormat="1" applyFont="1" applyFill="1" applyBorder="1" applyAlignment="1">
      <alignment horizontal="center" vertical="center"/>
    </xf>
    <xf numFmtId="37" fontId="3" fillId="37" borderId="49" xfId="0" applyNumberFormat="1" applyFont="1" applyFill="1" applyBorder="1" applyAlignment="1">
      <alignment horizontal="center" vertical="center"/>
    </xf>
    <xf numFmtId="0" fontId="3" fillId="37" borderId="47" xfId="0" applyFont="1" applyFill="1" applyBorder="1" applyAlignment="1">
      <alignment horizontal="left" vertical="center"/>
    </xf>
    <xf numFmtId="0" fontId="72" fillId="0" borderId="6" xfId="0" applyFont="1" applyFill="1" applyBorder="1"/>
    <xf numFmtId="0" fontId="73" fillId="0" borderId="6" xfId="0" applyFont="1" applyFill="1" applyBorder="1"/>
    <xf numFmtId="0" fontId="73" fillId="0" borderId="6" xfId="0" applyFont="1" applyFill="1" applyBorder="1" applyAlignment="1">
      <alignment horizontal="left" indent="1"/>
    </xf>
    <xf numFmtId="0" fontId="73" fillId="0" borderId="30" xfId="0" applyFont="1" applyFill="1" applyBorder="1" applyAlignment="1">
      <alignment horizontal="left" indent="1"/>
    </xf>
    <xf numFmtId="44" fontId="0" fillId="0" borderId="0" xfId="0" applyNumberFormat="1" applyFill="1"/>
    <xf numFmtId="6" fontId="0" fillId="0" borderId="0" xfId="0" applyNumberFormat="1" applyFill="1"/>
    <xf numFmtId="43" fontId="0" fillId="0" borderId="0" xfId="0" applyNumberFormat="1" applyFill="1"/>
    <xf numFmtId="0" fontId="33" fillId="36" borderId="0" xfId="0" applyFont="1" applyFill="1"/>
    <xf numFmtId="8" fontId="33" fillId="0" borderId="0" xfId="0" applyNumberFormat="1" applyFont="1" applyFill="1"/>
    <xf numFmtId="8" fontId="33" fillId="38" borderId="0" xfId="0" applyNumberFormat="1" applyFont="1" applyFill="1"/>
    <xf numFmtId="8" fontId="33" fillId="42" borderId="0" xfId="0" applyNumberFormat="1" applyFont="1" applyFill="1"/>
    <xf numFmtId="0" fontId="10" fillId="0" borderId="0" xfId="0" applyFont="1" applyFill="1" applyBorder="1" applyAlignment="1">
      <alignment horizontal="right" vertical="top" wrapText="1"/>
    </xf>
    <xf numFmtId="6" fontId="0" fillId="43" borderId="0" xfId="0" applyNumberFormat="1" applyFill="1"/>
    <xf numFmtId="6" fontId="2" fillId="43" borderId="0" xfId="0" applyNumberFormat="1" applyFont="1" applyFill="1"/>
    <xf numFmtId="6" fontId="0" fillId="35" borderId="0" xfId="0" applyNumberFormat="1" applyFill="1"/>
    <xf numFmtId="6" fontId="5" fillId="0" borderId="30" xfId="0" applyNumberFormat="1" applyFont="1" applyFill="1" applyBorder="1"/>
    <xf numFmtId="0" fontId="5" fillId="0" borderId="30" xfId="0" applyFont="1" applyBorder="1"/>
    <xf numFmtId="6" fontId="71" fillId="0" borderId="30" xfId="0" applyNumberFormat="1" applyFont="1" applyBorder="1"/>
    <xf numFmtId="179" fontId="71" fillId="0" borderId="30" xfId="0" applyNumberFormat="1" applyFont="1" applyBorder="1"/>
    <xf numFmtId="182" fontId="71" fillId="0" borderId="30" xfId="0" applyNumberFormat="1" applyFont="1" applyBorder="1"/>
    <xf numFmtId="44" fontId="45" fillId="0" borderId="0" xfId="0" applyNumberFormat="1" applyFont="1" applyFill="1"/>
    <xf numFmtId="6" fontId="10" fillId="0" borderId="0" xfId="0" applyNumberFormat="1" applyFont="1" applyFill="1"/>
    <xf numFmtId="181" fontId="10" fillId="0" borderId="0" xfId="0" applyNumberFormat="1" applyFont="1" applyFill="1"/>
    <xf numFmtId="189" fontId="10" fillId="0" borderId="0" xfId="0" applyNumberFormat="1" applyFont="1" applyFill="1"/>
    <xf numFmtId="0" fontId="72" fillId="44" borderId="6" xfId="0" applyFont="1" applyFill="1" applyBorder="1"/>
    <xf numFmtId="6" fontId="72" fillId="44" borderId="30" xfId="0" applyNumberFormat="1" applyFont="1" applyFill="1" applyBorder="1"/>
    <xf numFmtId="0" fontId="73" fillId="44" borderId="6" xfId="0" applyFont="1" applyFill="1" applyBorder="1" applyAlignment="1">
      <alignment horizontal="left" indent="1"/>
    </xf>
    <xf numFmtId="6" fontId="73" fillId="44" borderId="30" xfId="0" applyNumberFormat="1" applyFont="1" applyFill="1" applyBorder="1"/>
    <xf numFmtId="0" fontId="73" fillId="44" borderId="30" xfId="0" applyFont="1" applyFill="1" applyBorder="1" applyAlignment="1">
      <alignment horizontal="left" indent="1"/>
    </xf>
    <xf numFmtId="0" fontId="73" fillId="44" borderId="6" xfId="0" applyFont="1" applyFill="1" applyBorder="1"/>
    <xf numFmtId="10" fontId="72" fillId="44" borderId="30" xfId="70" applyNumberFormat="1" applyFont="1" applyFill="1" applyBorder="1"/>
    <xf numFmtId="2" fontId="72" fillId="44" borderId="30" xfId="0" applyNumberFormat="1" applyFont="1" applyFill="1" applyBorder="1"/>
    <xf numFmtId="0" fontId="73" fillId="44" borderId="51" xfId="0" applyFont="1" applyFill="1" applyBorder="1" applyAlignment="1">
      <alignment wrapText="1"/>
    </xf>
    <xf numFmtId="184" fontId="46" fillId="0" borderId="0" xfId="0" applyNumberFormat="1" applyFont="1"/>
    <xf numFmtId="181" fontId="46" fillId="0" borderId="0" xfId="69" applyNumberFormat="1" applyFont="1"/>
    <xf numFmtId="181" fontId="46" fillId="38" borderId="0" xfId="69" applyNumberFormat="1" applyFont="1" applyFill="1"/>
    <xf numFmtId="184" fontId="46" fillId="38" borderId="0" xfId="0" applyNumberFormat="1" applyFont="1" applyFill="1"/>
    <xf numFmtId="0" fontId="73" fillId="44" borderId="0" xfId="0" applyFont="1" applyFill="1" applyBorder="1"/>
    <xf numFmtId="9" fontId="73" fillId="44" borderId="0" xfId="0" applyNumberFormat="1" applyFont="1" applyFill="1" applyBorder="1"/>
    <xf numFmtId="0" fontId="72" fillId="44" borderId="30" xfId="0" applyFont="1" applyFill="1" applyBorder="1"/>
    <xf numFmtId="10" fontId="0" fillId="45" borderId="0" xfId="70" applyNumberFormat="1" applyFont="1" applyFill="1"/>
    <xf numFmtId="0" fontId="0" fillId="45" borderId="0" xfId="0" applyFill="1"/>
    <xf numFmtId="9" fontId="45" fillId="33" borderId="0" xfId="70" applyFont="1" applyFill="1"/>
    <xf numFmtId="0" fontId="45" fillId="0" borderId="0" xfId="0" applyFont="1" applyFill="1" applyAlignment="1">
      <alignment horizontal="left" indent="1"/>
    </xf>
    <xf numFmtId="0" fontId="45" fillId="0" borderId="0" xfId="0" applyFont="1" applyFill="1" applyBorder="1" applyAlignment="1">
      <alignment horizontal="left" indent="1"/>
    </xf>
    <xf numFmtId="190" fontId="45" fillId="0" borderId="0" xfId="0" applyNumberFormat="1" applyFont="1" applyFill="1"/>
    <xf numFmtId="191" fontId="45" fillId="0" borderId="0" xfId="0" applyNumberFormat="1" applyFont="1" applyFill="1"/>
    <xf numFmtId="1" fontId="45" fillId="0" borderId="0" xfId="0" applyNumberFormat="1" applyFont="1" applyFill="1"/>
    <xf numFmtId="9" fontId="74" fillId="44" borderId="51" xfId="0" applyNumberFormat="1" applyFont="1" applyFill="1" applyBorder="1" applyAlignment="1">
      <alignment textRotation="45" wrapText="1"/>
    </xf>
    <xf numFmtId="0" fontId="7" fillId="44" borderId="52" xfId="0" applyFont="1" applyFill="1" applyBorder="1"/>
    <xf numFmtId="0" fontId="0" fillId="44" borderId="52" xfId="0" applyFill="1" applyBorder="1"/>
    <xf numFmtId="0" fontId="45" fillId="27" borderId="0" xfId="0" applyFont="1" applyFill="1" applyBorder="1" applyAlignment="1">
      <alignment horizontal="center"/>
    </xf>
    <xf numFmtId="0" fontId="45" fillId="27" borderId="0" xfId="0" applyFont="1" applyFill="1" applyAlignment="1">
      <alignment horizontal="center"/>
    </xf>
    <xf numFmtId="6" fontId="45" fillId="0" borderId="0" xfId="0" applyNumberFormat="1" applyFont="1"/>
    <xf numFmtId="8" fontId="46" fillId="46" borderId="0" xfId="0" applyNumberFormat="1" applyFont="1" applyFill="1"/>
    <xf numFmtId="8" fontId="46" fillId="47" borderId="0" xfId="0" applyNumberFormat="1" applyFont="1" applyFill="1"/>
    <xf numFmtId="8" fontId="0" fillId="47" borderId="0" xfId="0" applyNumberFormat="1" applyFill="1"/>
    <xf numFmtId="0" fontId="46" fillId="46" borderId="0" xfId="0" applyFont="1" applyFill="1"/>
    <xf numFmtId="6" fontId="2" fillId="46" borderId="0" xfId="0" applyNumberFormat="1" applyFont="1" applyFill="1"/>
    <xf numFmtId="6" fontId="0" fillId="46" borderId="0" xfId="0" applyNumberFormat="1" applyFill="1"/>
    <xf numFmtId="6" fontId="0" fillId="42" borderId="0" xfId="0" applyNumberFormat="1" applyFill="1"/>
    <xf numFmtId="168" fontId="69" fillId="0" borderId="0" xfId="0" applyNumberFormat="1" applyFont="1"/>
    <xf numFmtId="2" fontId="5" fillId="0" borderId="0" xfId="0" applyNumberFormat="1" applyFont="1"/>
    <xf numFmtId="0" fontId="5" fillId="0" borderId="0" xfId="0" applyFont="1" applyFill="1" applyBorder="1"/>
    <xf numFmtId="190" fontId="45" fillId="33" borderId="0" xfId="0" applyNumberFormat="1" applyFont="1" applyFill="1"/>
    <xf numFmtId="0" fontId="7" fillId="0" borderId="30" xfId="0" applyFont="1" applyFill="1" applyBorder="1" applyAlignment="1">
      <alignment horizontal="right" vertical="top" wrapText="1"/>
    </xf>
    <xf numFmtId="172" fontId="76" fillId="0" borderId="0" xfId="0" applyNumberFormat="1" applyFont="1" applyFill="1" applyBorder="1"/>
    <xf numFmtId="6" fontId="0" fillId="33" borderId="0" xfId="0" applyNumberFormat="1" applyFill="1"/>
    <xf numFmtId="0" fontId="0" fillId="0" borderId="52" xfId="0" applyBorder="1"/>
    <xf numFmtId="0" fontId="78" fillId="0" borderId="0" xfId="0" applyFont="1"/>
    <xf numFmtId="0" fontId="72" fillId="0" borderId="30" xfId="0" applyFont="1" applyFill="1" applyBorder="1"/>
    <xf numFmtId="10" fontId="5" fillId="0" borderId="30" xfId="0" applyNumberFormat="1" applyFont="1" applyFill="1" applyBorder="1"/>
    <xf numFmtId="0" fontId="5" fillId="0" borderId="30" xfId="0" applyFont="1" applyFill="1" applyBorder="1"/>
    <xf numFmtId="2" fontId="5" fillId="0" borderId="30" xfId="0" applyNumberFormat="1" applyFont="1" applyFill="1" applyBorder="1"/>
    <xf numFmtId="0" fontId="2" fillId="0" borderId="30" xfId="0" applyFont="1" applyFill="1" applyBorder="1"/>
    <xf numFmtId="0" fontId="2" fillId="0" borderId="30" xfId="0" applyFont="1" applyFill="1" applyBorder="1" applyAlignment="1">
      <alignment horizontal="left"/>
    </xf>
    <xf numFmtId="0" fontId="77" fillId="0" borderId="30" xfId="0" applyFont="1" applyFill="1" applyBorder="1"/>
    <xf numFmtId="0" fontId="79" fillId="0" borderId="30" xfId="0" applyFont="1" applyFill="1" applyBorder="1" applyAlignment="1">
      <alignment horizontal="left"/>
    </xf>
    <xf numFmtId="0" fontId="77" fillId="33" borderId="30" xfId="0" applyFont="1" applyFill="1" applyBorder="1"/>
    <xf numFmtId="0" fontId="79" fillId="0" borderId="30" xfId="0" applyFont="1" applyBorder="1" applyAlignment="1">
      <alignment horizontal="center" wrapText="1"/>
    </xf>
    <xf numFmtId="0" fontId="79" fillId="0" borderId="0" xfId="0" applyFont="1" applyFill="1" applyBorder="1" applyAlignment="1">
      <alignment horizontal="left"/>
    </xf>
    <xf numFmtId="1" fontId="2" fillId="0" borderId="30" xfId="0" applyNumberFormat="1" applyFont="1" applyBorder="1"/>
    <xf numFmtId="0" fontId="5" fillId="33" borderId="30" xfId="0" applyFont="1" applyFill="1" applyBorder="1"/>
    <xf numFmtId="0" fontId="2" fillId="33" borderId="30" xfId="0" applyFont="1" applyFill="1" applyBorder="1"/>
    <xf numFmtId="184" fontId="2" fillId="0" borderId="30" xfId="0" applyNumberFormat="1" applyFont="1" applyBorder="1"/>
    <xf numFmtId="181" fontId="2" fillId="0" borderId="30" xfId="69" applyNumberFormat="1" applyFont="1" applyBorder="1"/>
    <xf numFmtId="164" fontId="0" fillId="0" borderId="30" xfId="29" applyNumberFormat="1" applyFont="1" applyBorder="1"/>
    <xf numFmtId="1" fontId="0" fillId="33" borderId="30" xfId="0" applyNumberFormat="1" applyFill="1" applyBorder="1"/>
    <xf numFmtId="38" fontId="2" fillId="0" borderId="30" xfId="29" applyNumberFormat="1" applyFont="1" applyBorder="1"/>
    <xf numFmtId="0" fontId="77" fillId="0" borderId="30" xfId="0" applyFont="1" applyFill="1" applyBorder="1" applyAlignment="1">
      <alignment horizontal="center" wrapText="1"/>
    </xf>
    <xf numFmtId="164" fontId="5" fillId="0" borderId="30" xfId="29" applyNumberFormat="1" applyFont="1" applyBorder="1"/>
    <xf numFmtId="1" fontId="5" fillId="33" borderId="30" xfId="0" applyNumberFormat="1" applyFont="1" applyFill="1" applyBorder="1"/>
    <xf numFmtId="38" fontId="5" fillId="0" borderId="30" xfId="29" applyNumberFormat="1" applyFont="1" applyBorder="1"/>
    <xf numFmtId="181" fontId="5" fillId="0" borderId="30" xfId="69" applyNumberFormat="1" applyFont="1" applyBorder="1"/>
    <xf numFmtId="2" fontId="0" fillId="33" borderId="0" xfId="0" applyNumberFormat="1" applyFill="1"/>
    <xf numFmtId="0" fontId="0" fillId="43" borderId="53" xfId="0" applyFill="1" applyBorder="1"/>
    <xf numFmtId="0" fontId="0" fillId="43" borderId="54" xfId="0" applyFill="1" applyBorder="1"/>
    <xf numFmtId="0" fontId="0" fillId="43" borderId="55" xfId="0" applyFill="1" applyBorder="1"/>
    <xf numFmtId="0" fontId="0" fillId="43" borderId="56" xfId="0" applyFill="1" applyBorder="1"/>
    <xf numFmtId="0" fontId="0" fillId="43" borderId="57" xfId="0" applyFill="1" applyBorder="1"/>
    <xf numFmtId="2" fontId="5" fillId="0" borderId="30" xfId="0" applyNumberFormat="1" applyFont="1" applyBorder="1"/>
    <xf numFmtId="0" fontId="0" fillId="43" borderId="45" xfId="0" applyFill="1" applyBorder="1"/>
    <xf numFmtId="0" fontId="0" fillId="43" borderId="58" xfId="0" applyFill="1" applyBorder="1"/>
    <xf numFmtId="180" fontId="0" fillId="32" borderId="0" xfId="0" applyNumberFormat="1" applyFill="1"/>
    <xf numFmtId="168" fontId="0" fillId="0" borderId="0" xfId="0" applyNumberFormat="1" applyAlignment="1">
      <alignment horizontal="center"/>
    </xf>
    <xf numFmtId="37" fontId="0" fillId="0" borderId="0" xfId="0" applyNumberFormat="1" applyFill="1"/>
    <xf numFmtId="40" fontId="45" fillId="42" borderId="0" xfId="0" applyNumberFormat="1" applyFont="1" applyFill="1"/>
    <xf numFmtId="0" fontId="45" fillId="0" borderId="0" xfId="0" applyFont="1" applyAlignment="1">
      <alignment horizontal="left" indent="1"/>
    </xf>
    <xf numFmtId="0" fontId="3" fillId="23" borderId="59" xfId="0" applyFont="1" applyFill="1" applyBorder="1" applyAlignment="1">
      <alignment horizontal="center" vertical="center"/>
    </xf>
    <xf numFmtId="37" fontId="3" fillId="37" borderId="60" xfId="0" applyNumberFormat="1" applyFont="1" applyFill="1" applyBorder="1" applyAlignment="1">
      <alignment horizontal="center" vertical="center"/>
    </xf>
    <xf numFmtId="0" fontId="2" fillId="0" borderId="53" xfId="0" applyFont="1" applyBorder="1"/>
    <xf numFmtId="0" fontId="2" fillId="0" borderId="56" xfId="0" applyFont="1" applyBorder="1"/>
    <xf numFmtId="0" fontId="0" fillId="0" borderId="45" xfId="0" applyBorder="1"/>
    <xf numFmtId="0" fontId="0" fillId="0" borderId="53" xfId="0" applyBorder="1"/>
    <xf numFmtId="0" fontId="2" fillId="0" borderId="0" xfId="0" applyFont="1" applyBorder="1"/>
    <xf numFmtId="0" fontId="2" fillId="0" borderId="62" xfId="0" applyFont="1" applyBorder="1"/>
    <xf numFmtId="0" fontId="2" fillId="0" borderId="63" xfId="0" applyFont="1" applyBorder="1"/>
    <xf numFmtId="0" fontId="0" fillId="0" borderId="63" xfId="0" applyBorder="1"/>
    <xf numFmtId="0" fontId="0" fillId="0" borderId="58" xfId="0" applyBorder="1"/>
    <xf numFmtId="0" fontId="2" fillId="0" borderId="45" xfId="0" applyFont="1" applyBorder="1" applyAlignment="1">
      <alignment horizontal="center"/>
    </xf>
    <xf numFmtId="0" fontId="2" fillId="0" borderId="61" xfId="0" applyFont="1" applyBorder="1" applyAlignment="1">
      <alignment horizontal="center"/>
    </xf>
    <xf numFmtId="0" fontId="2" fillId="33" borderId="54" xfId="0" applyFont="1" applyFill="1" applyBorder="1"/>
    <xf numFmtId="0" fontId="0" fillId="33" borderId="0" xfId="0" applyFill="1" applyBorder="1"/>
    <xf numFmtId="0" fontId="0" fillId="33" borderId="55" xfId="0" applyFill="1" applyBorder="1"/>
    <xf numFmtId="10" fontId="0" fillId="34" borderId="0" xfId="0" applyNumberFormat="1" applyFill="1"/>
    <xf numFmtId="0" fontId="2" fillId="0" borderId="0" xfId="0" applyFont="1" applyFill="1" applyBorder="1"/>
    <xf numFmtId="168" fontId="0" fillId="0" borderId="0" xfId="0" applyNumberFormat="1" applyAlignment="1">
      <alignment horizontal="right"/>
    </xf>
    <xf numFmtId="0" fontId="80" fillId="0" borderId="0" xfId="0" applyFont="1"/>
    <xf numFmtId="0" fontId="2" fillId="0" borderId="6" xfId="0" applyFont="1" applyBorder="1" applyAlignment="1">
      <alignment horizontal="center"/>
    </xf>
    <xf numFmtId="0" fontId="0" fillId="48" borderId="0" xfId="0" applyFill="1" applyAlignment="1">
      <alignment horizontal="center"/>
    </xf>
    <xf numFmtId="44" fontId="0" fillId="0" borderId="0" xfId="69" applyNumberFormat="1" applyFont="1"/>
    <xf numFmtId="192" fontId="46" fillId="33" borderId="0" xfId="0" applyNumberFormat="1" applyFont="1" applyFill="1"/>
    <xf numFmtId="169" fontId="0" fillId="0" borderId="0" xfId="69" applyNumberFormat="1" applyFont="1"/>
    <xf numFmtId="193" fontId="0" fillId="0" borderId="0" xfId="69" applyNumberFormat="1" applyFont="1"/>
    <xf numFmtId="181" fontId="2" fillId="0" borderId="0" xfId="69" applyNumberFormat="1" applyFont="1"/>
    <xf numFmtId="9" fontId="0" fillId="0" borderId="0" xfId="70" applyFont="1"/>
    <xf numFmtId="169" fontId="0" fillId="0" borderId="0" xfId="0" applyNumberFormat="1"/>
    <xf numFmtId="191" fontId="45" fillId="38" borderId="0" xfId="0" applyNumberFormat="1" applyFont="1" applyFill="1"/>
    <xf numFmtId="44" fontId="45" fillId="38" borderId="0" xfId="0" applyNumberFormat="1" applyFont="1" applyFill="1"/>
    <xf numFmtId="9" fontId="74" fillId="44" borderId="42" xfId="0" applyNumberFormat="1" applyFont="1" applyFill="1" applyBorder="1" applyAlignment="1">
      <alignment vertical="top" wrapText="1"/>
    </xf>
    <xf numFmtId="0" fontId="0" fillId="0" borderId="51" xfId="0" applyBorder="1" applyAlignment="1">
      <alignment vertical="top" wrapText="1"/>
    </xf>
    <xf numFmtId="0" fontId="81" fillId="0" borderId="30" xfId="0" applyFont="1" applyBorder="1" applyAlignment="1">
      <alignment horizontal="center"/>
    </xf>
    <xf numFmtId="0" fontId="45" fillId="0" borderId="30" xfId="0" applyFont="1" applyBorder="1" applyAlignment="1">
      <alignment horizontal="center"/>
    </xf>
    <xf numFmtId="0" fontId="77" fillId="0" borderId="30" xfId="0" applyFont="1" applyFill="1" applyBorder="1" applyAlignment="1">
      <alignment vertical="top" wrapText="1"/>
    </xf>
    <xf numFmtId="0" fontId="45" fillId="33" borderId="0" xfId="0" quotePrefix="1" applyFont="1" applyFill="1"/>
    <xf numFmtId="0" fontId="0" fillId="44" borderId="0" xfId="0" applyFill="1"/>
    <xf numFmtId="0" fontId="78" fillId="44" borderId="0" xfId="0" applyFont="1" applyFill="1"/>
    <xf numFmtId="8" fontId="45" fillId="33" borderId="0" xfId="0" quotePrefix="1" applyNumberFormat="1" applyFont="1" applyFill="1"/>
    <xf numFmtId="182" fontId="46" fillId="33" borderId="0" xfId="0" applyNumberFormat="1" applyFont="1" applyFill="1"/>
    <xf numFmtId="0" fontId="38" fillId="23" borderId="17" xfId="0" applyFont="1" applyFill="1" applyBorder="1" applyAlignment="1">
      <alignment horizontal="center" vertical="center" wrapText="1"/>
    </xf>
    <xf numFmtId="0" fontId="38" fillId="23" borderId="19" xfId="0" applyFont="1" applyFill="1" applyBorder="1" applyAlignment="1">
      <alignment horizontal="center" vertical="center" wrapText="1"/>
    </xf>
    <xf numFmtId="0" fontId="38" fillId="23" borderId="18" xfId="0" applyFont="1" applyFill="1" applyBorder="1" applyAlignment="1">
      <alignment horizontal="center" vertical="center"/>
    </xf>
    <xf numFmtId="0" fontId="3" fillId="23" borderId="0" xfId="0" applyFont="1" applyFill="1" applyBorder="1" applyAlignment="1">
      <alignment horizontal="center" vertical="center"/>
    </xf>
    <xf numFmtId="0" fontId="3" fillId="23" borderId="17" xfId="0" applyFont="1" applyFill="1" applyBorder="1" applyAlignment="1">
      <alignment horizontal="center" vertical="center"/>
    </xf>
    <xf numFmtId="0" fontId="65" fillId="0" borderId="0" xfId="0" applyFont="1" applyAlignment="1">
      <alignment horizontal="center"/>
    </xf>
    <xf numFmtId="0" fontId="2" fillId="23" borderId="0" xfId="0" applyFont="1" applyFill="1" applyBorder="1" applyAlignment="1">
      <alignment horizontal="center" vertical="center"/>
    </xf>
    <xf numFmtId="0" fontId="2" fillId="23" borderId="17" xfId="0" applyFont="1" applyFill="1" applyBorder="1" applyAlignment="1">
      <alignment horizontal="center" vertical="center"/>
    </xf>
    <xf numFmtId="0" fontId="38" fillId="23" borderId="0" xfId="0" applyFont="1" applyFill="1" applyBorder="1" applyAlignment="1">
      <alignment horizontal="center" vertical="center"/>
    </xf>
    <xf numFmtId="0" fontId="38" fillId="23" borderId="17" xfId="0" applyFont="1" applyFill="1" applyBorder="1" applyAlignment="1">
      <alignment horizontal="center" vertical="center"/>
    </xf>
  </cellXfs>
  <cellStyles count="7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Arial 11" xfId="25"/>
    <cellStyle name="Bad" xfId="26" builtinId="27" customBuiltin="1"/>
    <cellStyle name="Calculation" xfId="27" builtinId="22" customBuiltin="1"/>
    <cellStyle name="Check Cell" xfId="28" builtinId="23" customBuiltin="1"/>
    <cellStyle name="Comma" xfId="29" builtinId="3"/>
    <cellStyle name="Comma." xfId="30"/>
    <cellStyle name="Currency" xfId="69" builtinId="4"/>
    <cellStyle name="Currency." xfId="31"/>
    <cellStyle name="Currency.00" xfId="32"/>
    <cellStyle name="Euro" xfId="33"/>
    <cellStyle name="Explanatory Text" xfId="34" builtinId="53" customBuiltin="1"/>
    <cellStyle name="Good" xfId="35" builtinId="26" customBuiltin="1"/>
    <cellStyle name="Grey" xfId="36"/>
    <cellStyle name="Heading 1" xfId="37" builtinId="16" customBuiltin="1"/>
    <cellStyle name="Heading 2" xfId="38" builtinId="17" customBuiltin="1"/>
    <cellStyle name="Heading 3" xfId="39" builtinId="18" customBuiltin="1"/>
    <cellStyle name="Heading 4" xfId="40" builtinId="19" customBuiltin="1"/>
    <cellStyle name="Hyperlink" xfId="41" builtinId="8"/>
    <cellStyle name="Input" xfId="42" builtinId="20" customBuiltin="1"/>
    <cellStyle name="Input [yellow]" xfId="43"/>
    <cellStyle name="Linked Cell" xfId="44" builtinId="24" customBuiltin="1"/>
    <cellStyle name="Millares [0]_laroux" xfId="45"/>
    <cellStyle name="Millares_laroux" xfId="46"/>
    <cellStyle name="Moneda [0]_laroux" xfId="47"/>
    <cellStyle name="Moneda_laroux" xfId="48"/>
    <cellStyle name="Neutral" xfId="49" builtinId="28" customBuiltin="1"/>
    <cellStyle name="no dec" xfId="50"/>
    <cellStyle name="Normal" xfId="0" builtinId="0"/>
    <cellStyle name="Normal - Style1" xfId="51"/>
    <cellStyle name="Normal 2" xfId="72"/>
    <cellStyle name="Normal_All Day Access _Absolute" xfId="71"/>
    <cellStyle name="Note" xfId="52" builtinId="10" customBuiltin="1"/>
    <cellStyle name="Œ…‹æØ‚è [0.00]_PRODUCT DETAIL Q1" xfId="53"/>
    <cellStyle name="Œ…‹æØ‚è_PRODUCT DETAIL Q1" xfId="54"/>
    <cellStyle name="Output" xfId="55" builtinId="21" customBuiltin="1"/>
    <cellStyle name="Percent" xfId="70" builtinId="5"/>
    <cellStyle name="Percent [2]" xfId="56"/>
    <cellStyle name="Percent.00" xfId="57"/>
    <cellStyle name="producto" xfId="58"/>
    <cellStyle name="RISKbottomEdge" xfId="59"/>
    <cellStyle name="RISKleftEdge" xfId="60"/>
    <cellStyle name="RISKnormBoxed" xfId="61"/>
    <cellStyle name="RISKnormHeading" xfId="62"/>
    <cellStyle name="RISKnormLabel" xfId="63"/>
    <cellStyle name="RISKnormTitle" xfId="64"/>
    <cellStyle name="RISKtopEdge" xfId="65"/>
    <cellStyle name="Title" xfId="66" builtinId="15" customBuiltin="1"/>
    <cellStyle name="Total" xfId="67" builtinId="25" customBuiltin="1"/>
    <cellStyle name="Warning Text" xfId="68" builtinId="11" customBuiltin="1"/>
  </cellStyles>
  <dxfs count="2">
    <dxf>
      <font>
        <condense val="0"/>
        <extend val="0"/>
        <color indexed="10"/>
      </font>
    </dxf>
    <dxf>
      <font>
        <condense val="0"/>
        <extend val="0"/>
        <color indexed="10"/>
      </font>
    </dxf>
  </dxfs>
  <tableStyles count="0" defaultTableStyle="TableStyleMedium9" defaultPivotStyle="PivotStyleLight16"/>
  <colors>
    <mruColors>
      <color rgb="FFFFFF99"/>
      <color rgb="FFFF66CC"/>
      <color rgb="FFFF6600"/>
      <color rgb="FF99CC00"/>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Z127"/>
  <sheetViews>
    <sheetView zoomScaleNormal="100" workbookViewId="0">
      <selection sqref="A1:XFD1048576"/>
    </sheetView>
  </sheetViews>
  <sheetFormatPr defaultRowHeight="12.75"/>
  <cols>
    <col min="1" max="1" width="36.5703125" customWidth="1"/>
    <col min="2" max="8" width="13.5703125" customWidth="1"/>
    <col min="9" max="25" width="12" customWidth="1"/>
    <col min="26" max="26" width="15.5703125" customWidth="1"/>
  </cols>
  <sheetData>
    <row r="1" spans="1:10">
      <c r="A1" s="546"/>
      <c r="B1" s="546"/>
      <c r="C1" s="546"/>
      <c r="D1" s="546"/>
      <c r="E1" s="546"/>
      <c r="F1" s="546"/>
      <c r="G1" s="546"/>
      <c r="H1" s="546"/>
      <c r="I1" s="546"/>
      <c r="J1" s="546"/>
    </row>
    <row r="2" spans="1:10" ht="23.25">
      <c r="A2" s="547" t="s">
        <v>603</v>
      </c>
      <c r="B2" s="546"/>
      <c r="C2" s="546"/>
      <c r="D2" s="546"/>
      <c r="E2" s="546"/>
      <c r="F2" s="546"/>
      <c r="G2" s="546"/>
      <c r="H2" s="546"/>
      <c r="I2" s="546"/>
      <c r="J2" s="546"/>
    </row>
    <row r="3" spans="1:10">
      <c r="A3" s="546"/>
      <c r="B3" s="546"/>
      <c r="C3" s="546"/>
      <c r="D3" s="546"/>
      <c r="E3" s="546"/>
      <c r="F3" s="546"/>
      <c r="G3" s="546"/>
      <c r="H3" s="546"/>
      <c r="I3" s="546"/>
      <c r="J3" s="546"/>
    </row>
    <row r="4" spans="1:10">
      <c r="A4" s="450"/>
      <c r="B4" s="451"/>
      <c r="C4" s="451"/>
      <c r="D4" s="451"/>
      <c r="E4" s="451"/>
      <c r="F4" s="451"/>
      <c r="G4" s="451"/>
      <c r="H4" s="451"/>
      <c r="I4" s="451"/>
      <c r="J4" s="451"/>
    </row>
    <row r="5" spans="1:10" ht="93" customHeight="1">
      <c r="A5" s="433" t="s">
        <v>582</v>
      </c>
      <c r="B5" s="449" t="s">
        <v>576</v>
      </c>
      <c r="C5" s="449" t="s">
        <v>574</v>
      </c>
      <c r="D5" s="449" t="s">
        <v>575</v>
      </c>
      <c r="E5" s="449" t="s">
        <v>611</v>
      </c>
      <c r="F5" s="449" t="s">
        <v>598</v>
      </c>
      <c r="G5" s="449" t="s">
        <v>572</v>
      </c>
      <c r="H5" s="449" t="s">
        <v>573</v>
      </c>
      <c r="I5" s="546"/>
      <c r="J5" s="546"/>
    </row>
    <row r="6" spans="1:10" ht="15.75">
      <c r="A6" s="425" t="s">
        <v>1</v>
      </c>
      <c r="B6" s="426">
        <f>FT!D219</f>
        <v>6401.16285665553</v>
      </c>
      <c r="C6" s="426">
        <f>'Forest Glen'!D341</f>
        <v>20558.433203012559</v>
      </c>
      <c r="D6" s="426">
        <f>NC!D223</f>
        <v>759.948864121513</v>
      </c>
      <c r="E6" s="426">
        <f>Rosslyn!D219</f>
        <v>7403.2447193374073</v>
      </c>
      <c r="F6" s="426">
        <f>WH!D216</f>
        <v>937.30421163296728</v>
      </c>
      <c r="G6" s="426">
        <f>'A-N Drive'!D283</f>
        <v>18134.137076370025</v>
      </c>
      <c r="H6" s="426">
        <f>VRE!D161</f>
        <v>535.47519183449936</v>
      </c>
      <c r="I6" s="546"/>
      <c r="J6" s="546"/>
    </row>
    <row r="7" spans="1:10" ht="15.75">
      <c r="A7" s="427" t="s">
        <v>196</v>
      </c>
      <c r="B7" s="428">
        <f>FT!D220</f>
        <v>3864.7027981828946</v>
      </c>
      <c r="C7" s="428">
        <f>'Forest Glen'!D342</f>
        <v>14078.601669140484</v>
      </c>
      <c r="D7" s="428">
        <f>NC!D224</f>
        <v>557.49337355075886</v>
      </c>
      <c r="E7" s="428">
        <f>Rosslyn!D220</f>
        <v>3831.9238382505418</v>
      </c>
      <c r="F7" s="428">
        <f>WH!D217</f>
        <v>670.53916486002458</v>
      </c>
      <c r="G7" s="428">
        <f>'A-N Drive'!D284</f>
        <v>6478.7162807050618</v>
      </c>
      <c r="H7" s="428">
        <f>VRE!D162</f>
        <v>267.10111491708358</v>
      </c>
      <c r="I7" s="546"/>
      <c r="J7" s="546"/>
    </row>
    <row r="8" spans="1:10" ht="15.75">
      <c r="A8" s="427" t="s">
        <v>197</v>
      </c>
      <c r="B8" s="428">
        <f>FT!D221</f>
        <v>0</v>
      </c>
      <c r="C8" s="428">
        <f>'Forest Glen'!D343</f>
        <v>1161.6054108968103</v>
      </c>
      <c r="D8" s="428">
        <f>NC!D225</f>
        <v>0</v>
      </c>
      <c r="E8" s="428">
        <f>Rosslyn!D221</f>
        <v>0</v>
      </c>
      <c r="F8" s="428">
        <f>WH!D218</f>
        <v>0</v>
      </c>
      <c r="G8" s="428">
        <f>'A-N Drive'!D285</f>
        <v>0</v>
      </c>
      <c r="H8" s="428">
        <f>VRE!D163</f>
        <v>67.59932591913676</v>
      </c>
      <c r="I8" s="546"/>
      <c r="J8" s="546"/>
    </row>
    <row r="9" spans="1:10" ht="15.75">
      <c r="A9" s="429" t="s">
        <v>546</v>
      </c>
      <c r="B9" s="428">
        <f>FT!D222</f>
        <v>45.981610962982735</v>
      </c>
      <c r="C9" s="428">
        <f>'Forest Glen'!D344</f>
        <v>515.85311749469997</v>
      </c>
      <c r="D9" s="428">
        <f>NC!D226</f>
        <v>79.890028172081585</v>
      </c>
      <c r="E9" s="428">
        <f>Rosslyn!D222</f>
        <v>300.30110965490064</v>
      </c>
      <c r="F9" s="428">
        <f>WH!D219</f>
        <v>0</v>
      </c>
      <c r="G9" s="428">
        <f>'A-N Drive'!D286</f>
        <v>291.60577171348638</v>
      </c>
      <c r="H9" s="428">
        <f>VRE!D164</f>
        <v>0</v>
      </c>
      <c r="I9" s="546"/>
      <c r="J9" s="546"/>
    </row>
    <row r="10" spans="1:10" ht="15.75">
      <c r="A10" s="427" t="s">
        <v>198</v>
      </c>
      <c r="B10" s="428">
        <f>FT!D223</f>
        <v>2490.4784475096526</v>
      </c>
      <c r="C10" s="428">
        <f>'Forest Glen'!D345</f>
        <v>4802.3730054805656</v>
      </c>
      <c r="D10" s="428">
        <f>NC!D227</f>
        <v>122.56546239867262</v>
      </c>
      <c r="E10" s="428">
        <f>Rosslyn!D223</f>
        <v>3271.0197714319647</v>
      </c>
      <c r="F10" s="428">
        <f>WH!D220</f>
        <v>266.7650467729427</v>
      </c>
      <c r="G10" s="428">
        <f>'A-N Drive'!D287</f>
        <v>11363.815023951476</v>
      </c>
      <c r="H10" s="428">
        <f>VRE!D165</f>
        <v>200.77475099827907</v>
      </c>
      <c r="I10" s="546"/>
      <c r="J10" s="546"/>
    </row>
    <row r="11" spans="1:10" ht="15.75">
      <c r="A11" s="430"/>
      <c r="B11" s="428"/>
      <c r="C11" s="428"/>
      <c r="D11" s="428"/>
      <c r="E11" s="428"/>
      <c r="F11" s="428"/>
      <c r="G11" s="428"/>
      <c r="H11" s="428"/>
      <c r="I11" s="546"/>
      <c r="J11" s="546"/>
    </row>
    <row r="12" spans="1:10" ht="15.75">
      <c r="A12" s="425" t="s">
        <v>0</v>
      </c>
      <c r="B12" s="426">
        <f>FT!D225</f>
        <v>13028.559666965259</v>
      </c>
      <c r="C12" s="426">
        <f>'Forest Glen'!D347</f>
        <v>22566.52654529189</v>
      </c>
      <c r="D12" s="426">
        <f>NC!D229</f>
        <v>2121.8692568880897</v>
      </c>
      <c r="E12" s="426">
        <f>Rosslyn!D225</f>
        <v>22213.364355686397</v>
      </c>
      <c r="F12" s="426">
        <f>WH!D222</f>
        <v>2793.6558366049335</v>
      </c>
      <c r="G12" s="426">
        <f>'A-N Drive'!D289</f>
        <v>43379.678696936695</v>
      </c>
      <c r="H12" s="426">
        <f>VRE!D167</f>
        <v>1170.7782145521596</v>
      </c>
      <c r="I12" s="546"/>
      <c r="J12" s="546"/>
    </row>
    <row r="13" spans="1:10" ht="15.75">
      <c r="A13" s="427" t="s">
        <v>577</v>
      </c>
      <c r="B13" s="428">
        <f>FT!D226</f>
        <v>1874.0217485109554</v>
      </c>
      <c r="C13" s="428">
        <f>'Forest Glen'!D348</f>
        <v>1609.1779063021922</v>
      </c>
      <c r="D13" s="428">
        <f>NC!D230</f>
        <v>208.62561139305106</v>
      </c>
      <c r="E13" s="428">
        <f>Rosslyn!D226</f>
        <v>1127.7479884179643</v>
      </c>
      <c r="F13" s="428">
        <f>WH!D223</f>
        <v>746.34587515318754</v>
      </c>
      <c r="G13" s="428">
        <f>'A-N Drive'!D290</f>
        <v>-2104.1848244185421</v>
      </c>
      <c r="H13" s="428">
        <f>VRE!D168</f>
        <v>-69.716092298663824</v>
      </c>
      <c r="I13" s="546"/>
      <c r="J13" s="546"/>
    </row>
    <row r="14" spans="1:10" ht="15.75">
      <c r="A14" s="427" t="s">
        <v>578</v>
      </c>
      <c r="B14" s="428">
        <f>FT!D227</f>
        <v>3085.0995231240854</v>
      </c>
      <c r="C14" s="428">
        <f>'Forest Glen'!D349</f>
        <v>4154.1864069837548</v>
      </c>
      <c r="D14" s="428">
        <f>NC!D231</f>
        <v>286.3661922799925</v>
      </c>
      <c r="E14" s="428">
        <f>Rosslyn!D227</f>
        <v>3357.501492112357</v>
      </c>
      <c r="F14" s="428">
        <f>WH!D224</f>
        <v>628.26407757334709</v>
      </c>
      <c r="G14" s="428">
        <f>'A-N Drive'!D291</f>
        <v>10813.969270947482</v>
      </c>
      <c r="H14" s="428">
        <f>VRE!D169</f>
        <v>448.57734047453704</v>
      </c>
      <c r="I14" s="546"/>
      <c r="J14" s="546"/>
    </row>
    <row r="15" spans="1:10" ht="15.75">
      <c r="A15" s="427" t="s">
        <v>199</v>
      </c>
      <c r="B15" s="428">
        <f>FT!D228</f>
        <v>186.86231551215806</v>
      </c>
      <c r="C15" s="428">
        <f>'Forest Glen'!D350</f>
        <v>3436.8819792709492</v>
      </c>
      <c r="D15" s="428">
        <f>NC!D232</f>
        <v>8.8377778428924501</v>
      </c>
      <c r="E15" s="428">
        <f>Rosslyn!D228</f>
        <v>1779.0724660818646</v>
      </c>
      <c r="F15" s="428">
        <f>WH!D225</f>
        <v>102.57192360648611</v>
      </c>
      <c r="G15" s="428">
        <f>'A-N Drive'!D292</f>
        <v>6617.1237877430731</v>
      </c>
      <c r="H15" s="428">
        <f>VRE!D170</f>
        <v>21.77469970132659</v>
      </c>
      <c r="I15" s="546"/>
      <c r="J15" s="546"/>
    </row>
    <row r="16" spans="1:10" ht="15.75">
      <c r="A16" s="427" t="s">
        <v>200</v>
      </c>
      <c r="B16" s="428">
        <f>FT!D229</f>
        <v>743.7183699579374</v>
      </c>
      <c r="C16" s="428">
        <f>'Forest Glen'!D351</f>
        <v>3593.8661652043838</v>
      </c>
      <c r="D16" s="428">
        <f>NC!D233</f>
        <v>962.34765920602945</v>
      </c>
      <c r="E16" s="428">
        <f>Rosslyn!D229</f>
        <v>-6164.5700777516558</v>
      </c>
      <c r="F16" s="428">
        <f>WH!D226</f>
        <v>36.650920574707307</v>
      </c>
      <c r="G16" s="428">
        <f>'A-N Drive'!D293</f>
        <v>2082.2674052857346</v>
      </c>
      <c r="H16" s="428">
        <f>VRE!D171</f>
        <v>69.463152604487334</v>
      </c>
      <c r="I16" s="546"/>
      <c r="J16" s="546"/>
    </row>
    <row r="17" spans="1:10" ht="15.75">
      <c r="A17" s="427" t="s">
        <v>585</v>
      </c>
      <c r="B17" s="428">
        <f>FT!D230</f>
        <v>897.33728904406246</v>
      </c>
      <c r="C17" s="428">
        <f>'Forest Glen'!D352</f>
        <v>908.20133369632117</v>
      </c>
      <c r="D17" s="428">
        <f>NC!D234</f>
        <v>86.025054494806056</v>
      </c>
      <c r="E17" s="428">
        <f>Rosslyn!D230</f>
        <v>972.78769821860431</v>
      </c>
      <c r="F17" s="428">
        <f>WH!D227</f>
        <v>183.14131658833952</v>
      </c>
      <c r="G17" s="428">
        <f>'A-N Drive'!D294</f>
        <v>2351.4320582286859</v>
      </c>
      <c r="H17" s="428">
        <f>VRE!D172</f>
        <v>318.06147931552408</v>
      </c>
      <c r="I17" s="546"/>
      <c r="J17" s="546"/>
    </row>
    <row r="18" spans="1:10" ht="15.75">
      <c r="A18" s="427" t="s">
        <v>579</v>
      </c>
      <c r="B18" s="428">
        <f>FT!D231</f>
        <v>0.27684891230433234</v>
      </c>
      <c r="C18" s="428">
        <f>'Forest Glen'!D353</f>
        <v>11.346124261627105</v>
      </c>
      <c r="D18" s="428">
        <f>NC!D235</f>
        <v>1.9206134496460497E-2</v>
      </c>
      <c r="E18" s="428">
        <f>Rosslyn!D231</f>
        <v>6.9955568782778235</v>
      </c>
      <c r="F18" s="428">
        <f>WH!D228</f>
        <v>0.55595951539008781</v>
      </c>
      <c r="G18" s="428">
        <f>'A-N Drive'!D295</f>
        <v>26.833322140335909</v>
      </c>
      <c r="H18" s="428">
        <f>VRE!D173</f>
        <v>0.58943344234981032</v>
      </c>
      <c r="I18" s="546"/>
      <c r="J18" s="546"/>
    </row>
    <row r="19" spans="1:10" ht="15.75">
      <c r="A19" s="427" t="s">
        <v>202</v>
      </c>
      <c r="B19" s="428">
        <f>FT!D232</f>
        <v>6241.2435719037567</v>
      </c>
      <c r="C19" s="428">
        <f>'Forest Glen'!D354</f>
        <v>8852.8666295726653</v>
      </c>
      <c r="D19" s="428">
        <f>NC!D236</f>
        <v>569.64775553682159</v>
      </c>
      <c r="E19" s="428">
        <f>Rosslyn!D232</f>
        <v>21133.829231728985</v>
      </c>
      <c r="F19" s="428">
        <f>WH!D229</f>
        <v>1096.125763593476</v>
      </c>
      <c r="G19" s="428">
        <f>'A-N Drive'!D296</f>
        <v>23592.237677009925</v>
      </c>
      <c r="H19" s="428">
        <f>VRE!D174</f>
        <v>382.02820131259847</v>
      </c>
      <c r="I19" s="546"/>
      <c r="J19" s="546"/>
    </row>
    <row r="20" spans="1:10" ht="15.75">
      <c r="A20" s="430"/>
      <c r="B20" s="428"/>
      <c r="C20" s="428"/>
      <c r="D20" s="428"/>
      <c r="E20" s="428"/>
      <c r="F20" s="428"/>
      <c r="G20" s="428"/>
      <c r="H20" s="428"/>
      <c r="I20" s="546"/>
      <c r="J20" s="546"/>
    </row>
    <row r="21" spans="1:10" ht="15.75">
      <c r="A21" s="425" t="s">
        <v>182</v>
      </c>
      <c r="B21" s="426">
        <f>FT!D234</f>
        <v>6627.3968103097286</v>
      </c>
      <c r="C21" s="426">
        <f>'Forest Glen'!D356</f>
        <v>21165.290132074668</v>
      </c>
      <c r="D21" s="426">
        <f>NC!D238</f>
        <v>1361.9203927665765</v>
      </c>
      <c r="E21" s="426">
        <f>Rosslyn!D234</f>
        <v>14810.119636348983</v>
      </c>
      <c r="F21" s="426">
        <f>WH!D231</f>
        <v>1856.3516249719667</v>
      </c>
      <c r="G21" s="426">
        <f>'A-N Drive'!D298</f>
        <v>25245.541620566673</v>
      </c>
      <c r="H21" s="426">
        <f>VRE!D176</f>
        <v>635.30302271766004</v>
      </c>
      <c r="I21" s="546"/>
      <c r="J21" s="546"/>
    </row>
    <row r="22" spans="1:10" ht="15.75">
      <c r="A22" s="425" t="s">
        <v>183</v>
      </c>
      <c r="B22" s="431">
        <f>FT!D235</f>
        <v>0.1617999507109194</v>
      </c>
      <c r="C22" s="431">
        <f>'Forest Glen'!D357</f>
        <v>5.1262262354807228E-2</v>
      </c>
      <c r="D22" s="431">
        <f>NC!D239</f>
        <v>0.14372048483239308</v>
      </c>
      <c r="E22" s="431">
        <f>Rosslyn!D235</f>
        <v>0.21814943364853159</v>
      </c>
      <c r="F22" s="431">
        <f>WH!D232</f>
        <v>0.1973585101481006</v>
      </c>
      <c r="G22" s="431">
        <f>'A-N Drive'!D299</f>
        <v>0.24839104926228933</v>
      </c>
      <c r="H22" s="431">
        <f>VRE!D177</f>
        <v>0.12561524065373536</v>
      </c>
      <c r="I22" s="546"/>
      <c r="J22" s="546"/>
    </row>
    <row r="23" spans="1:10" ht="15.75">
      <c r="A23" s="440" t="s">
        <v>184</v>
      </c>
      <c r="B23" s="432">
        <f>FT!D236</f>
        <v>2.0353426336308527</v>
      </c>
      <c r="C23" s="432">
        <f>'Forest Glen'!D358</f>
        <v>1.5431043490907475</v>
      </c>
      <c r="D23" s="432">
        <f>NC!D240</f>
        <v>2.792121097964837</v>
      </c>
      <c r="E23" s="432">
        <f>Rosslyn!D236</f>
        <v>3.0004903522457784</v>
      </c>
      <c r="F23" s="432">
        <f>WH!D233</f>
        <v>2.9805220140191611</v>
      </c>
      <c r="G23" s="432">
        <f>'A-N Drive'!D300</f>
        <v>2.3921556627838263</v>
      </c>
      <c r="H23" s="432">
        <f>VRE!D178</f>
        <v>2.1864284889485877</v>
      </c>
      <c r="I23" s="546"/>
      <c r="J23" s="546"/>
    </row>
    <row r="24" spans="1:10" ht="15.75">
      <c r="A24" s="438"/>
      <c r="B24" s="439"/>
      <c r="C24" s="439"/>
      <c r="D24" s="439"/>
      <c r="E24" s="439"/>
      <c r="F24" s="439"/>
      <c r="G24" s="438"/>
      <c r="H24" s="439"/>
      <c r="I24" s="546"/>
      <c r="J24" s="546"/>
    </row>
    <row r="25" spans="1:10">
      <c r="A25" s="451"/>
      <c r="B25" s="451"/>
      <c r="C25" s="451"/>
      <c r="D25" s="451"/>
      <c r="E25" s="451"/>
      <c r="F25" s="451"/>
      <c r="G25" s="451"/>
      <c r="H25" s="451"/>
      <c r="I25" s="451"/>
      <c r="J25" s="451"/>
    </row>
    <row r="26" spans="1:10" ht="96" customHeight="1">
      <c r="A26" s="433" t="s">
        <v>599</v>
      </c>
      <c r="B26" s="449" t="s">
        <v>576</v>
      </c>
      <c r="C26" s="449" t="s">
        <v>574</v>
      </c>
      <c r="D26" s="449" t="s">
        <v>575</v>
      </c>
      <c r="E26" s="449" t="str">
        <f>E5</f>
        <v>Rosslyn Circle Crossing</v>
      </c>
      <c r="F26" s="449" t="s">
        <v>598</v>
      </c>
      <c r="G26" s="449" t="s">
        <v>572</v>
      </c>
      <c r="H26" s="449" t="s">
        <v>573</v>
      </c>
      <c r="I26" s="546"/>
      <c r="J26" s="546"/>
    </row>
    <row r="27" spans="1:10" ht="15.75">
      <c r="A27" s="425" t="s">
        <v>1</v>
      </c>
      <c r="B27" s="426">
        <f>FT!D240</f>
        <v>5000.2021809394764</v>
      </c>
      <c r="C27" s="426">
        <f>'Forest Glen'!D362</f>
        <v>16432.339539218636</v>
      </c>
      <c r="D27" s="426">
        <f>NC!D244</f>
        <v>690.26768951043732</v>
      </c>
      <c r="E27" s="426">
        <f>Rosslyn!D240</f>
        <v>5964.0959353712933</v>
      </c>
      <c r="F27" s="426">
        <f>WH!D237</f>
        <v>793.49819994343284</v>
      </c>
      <c r="G27" s="426">
        <f>'A-N Drive'!D304</f>
        <v>13674.452501586769</v>
      </c>
      <c r="H27" s="426">
        <f>VRE!D182</f>
        <v>408.92289560002956</v>
      </c>
      <c r="I27" s="546"/>
      <c r="J27" s="546"/>
    </row>
    <row r="28" spans="1:10" ht="15.75">
      <c r="A28" s="427" t="s">
        <v>196</v>
      </c>
      <c r="B28" s="428">
        <f>FT!D241</f>
        <v>3503.8921523162858</v>
      </c>
      <c r="C28" s="428">
        <f>'Forest Glen'!D363</f>
        <v>12399.399202234121</v>
      </c>
      <c r="D28" s="428">
        <f>NC!D245</f>
        <v>535.24821381780077</v>
      </c>
      <c r="E28" s="428">
        <f>Rosslyn!D241</f>
        <v>3603.5217049523972</v>
      </c>
      <c r="F28" s="428">
        <f>WH!D238</f>
        <v>622.65263341776563</v>
      </c>
      <c r="G28" s="428">
        <f>'A-N Drive'!D305</f>
        <v>6043.4319606952567</v>
      </c>
      <c r="H28" s="428">
        <f>VRE!D183</f>
        <v>247.25123934425159</v>
      </c>
      <c r="I28" s="546"/>
      <c r="J28" s="546"/>
    </row>
    <row r="29" spans="1:10" ht="15.75">
      <c r="A29" s="427" t="s">
        <v>197</v>
      </c>
      <c r="B29" s="428">
        <f>FT!D242</f>
        <v>0</v>
      </c>
      <c r="C29" s="428">
        <f>'Forest Glen'!D364</f>
        <v>697.37819933210312</v>
      </c>
      <c r="D29" s="428">
        <f>NC!D246</f>
        <v>0</v>
      </c>
      <c r="E29" s="428">
        <f>Rosslyn!D242</f>
        <v>0</v>
      </c>
      <c r="F29" s="428">
        <f>WH!D239</f>
        <v>0</v>
      </c>
      <c r="G29" s="428">
        <f>'A-N Drive'!D306</f>
        <v>0</v>
      </c>
      <c r="H29" s="428">
        <f>VRE!D184</f>
        <v>43.475921249426669</v>
      </c>
      <c r="I29" s="546"/>
      <c r="J29" s="546"/>
    </row>
    <row r="30" spans="1:10" ht="15.75">
      <c r="A30" s="429" t="s">
        <v>546</v>
      </c>
      <c r="B30" s="428">
        <f>FT!D243</f>
        <v>42.607992899491983</v>
      </c>
      <c r="C30" s="428">
        <f>'Forest Glen'!D365</f>
        <v>453.37731748302309</v>
      </c>
      <c r="D30" s="428">
        <f>NC!D247</f>
        <v>74.028588424981507</v>
      </c>
      <c r="E30" s="428">
        <f>Rosslyn!D243</f>
        <v>281.9329250623253</v>
      </c>
      <c r="F30" s="428">
        <f>WH!D240</f>
        <v>0</v>
      </c>
      <c r="G30" s="428">
        <f>'A-N Drive'!D307</f>
        <v>275.53534515950753</v>
      </c>
      <c r="H30" s="428">
        <f>VRE!D185</f>
        <v>0</v>
      </c>
      <c r="I30" s="546"/>
      <c r="J30" s="546"/>
    </row>
    <row r="31" spans="1:10" ht="15.75">
      <c r="A31" s="427" t="s">
        <v>198</v>
      </c>
      <c r="B31" s="428">
        <f>FT!D244</f>
        <v>1453.7020357236986</v>
      </c>
      <c r="C31" s="428">
        <f>'Forest Glen'!D366</f>
        <v>2882.1848201693902</v>
      </c>
      <c r="D31" s="428">
        <f>NC!D248</f>
        <v>80.990887267655012</v>
      </c>
      <c r="E31" s="428">
        <f>Rosslyn!D244</f>
        <v>2078.6413053565702</v>
      </c>
      <c r="F31" s="428">
        <f>WH!D241</f>
        <v>170.84556652566727</v>
      </c>
      <c r="G31" s="428">
        <f>'A-N Drive'!D308</f>
        <v>7355.4851957320052</v>
      </c>
      <c r="H31" s="428">
        <f>VRE!D186</f>
        <v>118.19573500635131</v>
      </c>
      <c r="I31" s="546"/>
      <c r="J31" s="546"/>
    </row>
    <row r="32" spans="1:10" ht="15.75">
      <c r="A32" s="430"/>
      <c r="B32" s="428"/>
      <c r="C32" s="428"/>
      <c r="D32" s="428"/>
      <c r="E32" s="428"/>
      <c r="F32" s="428"/>
      <c r="G32" s="428"/>
      <c r="H32" s="428"/>
      <c r="I32" s="546"/>
      <c r="J32" s="546"/>
    </row>
    <row r="33" spans="1:10" ht="15.75">
      <c r="A33" s="425" t="s">
        <v>0</v>
      </c>
      <c r="B33" s="426">
        <f>FT!D246</f>
        <v>8386.0429697017098</v>
      </c>
      <c r="C33" s="426">
        <f>'Forest Glen'!D368</f>
        <v>13554.699533961821</v>
      </c>
      <c r="D33" s="426">
        <f>NC!D250</f>
        <v>1380.0429238560346</v>
      </c>
      <c r="E33" s="426">
        <f>Rosslyn!D246</f>
        <v>14031.83142143626</v>
      </c>
      <c r="F33" s="426">
        <f>WH!D243</f>
        <v>1791.5929149530818</v>
      </c>
      <c r="G33" s="426">
        <f>'A-N Drive'!D310</f>
        <v>27831.500181836804</v>
      </c>
      <c r="H33" s="426">
        <f>VRE!D188</f>
        <v>694.09296133235171</v>
      </c>
      <c r="I33" s="546"/>
      <c r="J33" s="546"/>
    </row>
    <row r="34" spans="1:10" ht="15.75">
      <c r="A34" s="427" t="s">
        <v>577</v>
      </c>
      <c r="B34" s="428">
        <f>FT!D247</f>
        <v>1206.1573852287706</v>
      </c>
      <c r="C34" s="428">
        <f>'Forest Glen'!D369</f>
        <v>956.80048074187459</v>
      </c>
      <c r="D34" s="428">
        <f>NC!D251</f>
        <v>129.31117498164116</v>
      </c>
      <c r="E34" s="428">
        <f>Rosslyn!D247</f>
        <v>703.69243067964362</v>
      </c>
      <c r="F34" s="428">
        <f>WH!D244</f>
        <v>476.55554217124688</v>
      </c>
      <c r="G34" s="428">
        <f>'A-N Drive'!D311</f>
        <v>-1415.507104908186</v>
      </c>
      <c r="H34" s="428">
        <f>VRE!D189</f>
        <v>-41.701449269841454</v>
      </c>
      <c r="I34" s="546"/>
      <c r="J34" s="546"/>
    </row>
    <row r="35" spans="1:10" ht="15.75">
      <c r="A35" s="427" t="s">
        <v>578</v>
      </c>
      <c r="B35" s="428">
        <f>FT!D248</f>
        <v>1987.1532017930192</v>
      </c>
      <c r="C35" s="428">
        <f>'Forest Glen'!D370</f>
        <v>2490.4594448600678</v>
      </c>
      <c r="D35" s="428">
        <f>NC!D252</f>
        <v>189.22991471101136</v>
      </c>
      <c r="E35" s="428">
        <f>Rosslyn!D248</f>
        <v>2133.5980128441188</v>
      </c>
      <c r="F35" s="428">
        <f>WH!D245</f>
        <v>402.36205439651724</v>
      </c>
      <c r="G35" s="428">
        <f>'A-N Drive'!D312</f>
        <v>6967.0876076581844</v>
      </c>
      <c r="H35" s="428">
        <f>VRE!D190</f>
        <v>264.07667398893534</v>
      </c>
      <c r="I35" s="546"/>
      <c r="J35" s="546"/>
    </row>
    <row r="36" spans="1:10" ht="15.75">
      <c r="A36" s="427" t="s">
        <v>199</v>
      </c>
      <c r="B36" s="428">
        <f>FT!D249</f>
        <v>112.10440860857885</v>
      </c>
      <c r="C36" s="428">
        <f>'Forest Glen'!D371</f>
        <v>2060.7343677992744</v>
      </c>
      <c r="D36" s="428">
        <f>NC!D253</f>
        <v>5.4575914371232761</v>
      </c>
      <c r="E36" s="428">
        <f>Rosslyn!D249</f>
        <v>1124.8923191441634</v>
      </c>
      <c r="F36" s="428">
        <f>WH!D246</f>
        <v>65.333063747125962</v>
      </c>
      <c r="G36" s="428">
        <f>'A-N Drive'!D313</f>
        <v>4283.0885719479747</v>
      </c>
      <c r="H36" s="428">
        <f>VRE!D191</f>
        <v>12.801365755474457</v>
      </c>
      <c r="I36" s="546"/>
      <c r="J36" s="546"/>
    </row>
    <row r="37" spans="1:10" ht="15.75">
      <c r="A37" s="427" t="s">
        <v>200</v>
      </c>
      <c r="B37" s="428">
        <f>FT!D250</f>
        <v>476.21158455630427</v>
      </c>
      <c r="C37" s="428">
        <f>'Forest Glen'!D372</f>
        <v>2195.0697578707377</v>
      </c>
      <c r="D37" s="428">
        <f>NC!D254</f>
        <v>620.56712630563948</v>
      </c>
      <c r="E37" s="428">
        <f>Rosslyn!D250</f>
        <v>-4006.5856815704501</v>
      </c>
      <c r="F37" s="428">
        <f>WH!D247</f>
        <v>23.472517726817145</v>
      </c>
      <c r="G37" s="428">
        <f>'A-N Drive'!D314</f>
        <v>1353.651246093485</v>
      </c>
      <c r="H37" s="428">
        <f>VRE!D192</f>
        <v>40.892833073497862</v>
      </c>
      <c r="I37" s="546"/>
      <c r="J37" s="546"/>
    </row>
    <row r="38" spans="1:10" ht="15.75">
      <c r="A38" s="427" t="s">
        <v>585</v>
      </c>
      <c r="B38" s="428">
        <f>FT!D251</f>
        <v>599.99504782587235</v>
      </c>
      <c r="C38" s="428">
        <f>'Forest Glen'!D373</f>
        <v>556.09611842394384</v>
      </c>
      <c r="D38" s="428">
        <f>NC!D255</f>
        <v>59.042909182406753</v>
      </c>
      <c r="E38" s="428">
        <f>Rosslyn!D251</f>
        <v>641.83323439024139</v>
      </c>
      <c r="F38" s="428">
        <f>WH!D248</f>
        <v>121.51681418250749</v>
      </c>
      <c r="G38" s="428">
        <f>'A-N Drive'!D315</f>
        <v>1569.8367911795292</v>
      </c>
      <c r="H38" s="428">
        <f>VRE!D193</f>
        <v>192.77722398539359</v>
      </c>
      <c r="I38" s="546"/>
      <c r="J38" s="546"/>
    </row>
    <row r="39" spans="1:10" ht="15.75">
      <c r="A39" s="427" t="s">
        <v>579</v>
      </c>
      <c r="B39" s="428">
        <f>FT!D252</f>
        <v>0.14805718298738746</v>
      </c>
      <c r="C39" s="428">
        <f>'Forest Glen'!D374</f>
        <v>6.8135857931754762</v>
      </c>
      <c r="D39" s="428">
        <f>NC!D256</f>
        <v>1.2691355651158531E-2</v>
      </c>
      <c r="E39" s="428">
        <f>Rosslyn!D252</f>
        <v>4.4454801551975285</v>
      </c>
      <c r="F39" s="428">
        <f>WH!D249</f>
        <v>0.3560557109005365</v>
      </c>
      <c r="G39" s="428">
        <f>'A-N Drive'!D316</f>
        <v>17.41956974853861</v>
      </c>
      <c r="H39" s="428">
        <f>VRE!D194</f>
        <v>0.34699840796443954</v>
      </c>
      <c r="I39" s="546"/>
      <c r="J39" s="546"/>
    </row>
    <row r="40" spans="1:10" ht="15.75">
      <c r="A40" s="427" t="s">
        <v>202</v>
      </c>
      <c r="B40" s="428">
        <f>FT!D253</f>
        <v>4004.2732845061764</v>
      </c>
      <c r="C40" s="428">
        <f>'Forest Glen'!D375</f>
        <v>5288.7257784727462</v>
      </c>
      <c r="D40" s="428">
        <f>NC!D257</f>
        <v>376.42151588256127</v>
      </c>
      <c r="E40" s="428">
        <f>Rosslyn!D253</f>
        <v>13429.955625793345</v>
      </c>
      <c r="F40" s="428">
        <f>WH!D250</f>
        <v>701.99686701796645</v>
      </c>
      <c r="G40" s="428">
        <f>'A-N Drive'!D317</f>
        <v>15055.923500117278</v>
      </c>
      <c r="H40" s="428">
        <f>VRE!D195</f>
        <v>224.89931539092754</v>
      </c>
      <c r="I40" s="546"/>
      <c r="J40" s="546"/>
    </row>
    <row r="41" spans="1:10" ht="15.75">
      <c r="A41" s="430"/>
      <c r="B41" s="428"/>
      <c r="C41" s="428"/>
      <c r="D41" s="428"/>
      <c r="E41" s="428"/>
      <c r="F41" s="428"/>
      <c r="G41" s="428"/>
      <c r="H41" s="428"/>
      <c r="I41" s="546"/>
      <c r="J41" s="546"/>
    </row>
    <row r="42" spans="1:10" ht="15.75">
      <c r="A42" s="425" t="s">
        <v>182</v>
      </c>
      <c r="B42" s="426">
        <f>FT!D255</f>
        <v>3385.8407887622334</v>
      </c>
      <c r="C42" s="426">
        <f>'Forest Glen'!D377</f>
        <v>4799.7691980744385</v>
      </c>
      <c r="D42" s="426">
        <f>NC!D259</f>
        <v>689.77523434559737</v>
      </c>
      <c r="E42" s="426">
        <f>Rosslyn!D255</f>
        <v>8067.7354860649675</v>
      </c>
      <c r="F42" s="426">
        <f>WH!D252</f>
        <v>998.09471500964878</v>
      </c>
      <c r="G42" s="426">
        <f>'A-N Drive'!D319</f>
        <v>14157.04768025004</v>
      </c>
      <c r="H42" s="426">
        <f>VRE!D197</f>
        <v>285.1700657323222</v>
      </c>
      <c r="I42" s="546"/>
      <c r="J42" s="546"/>
    </row>
    <row r="43" spans="1:10" ht="15.75">
      <c r="A43" s="425" t="s">
        <v>183</v>
      </c>
      <c r="B43" s="431">
        <f>FT!D256</f>
        <v>0.11836817685256727</v>
      </c>
      <c r="C43" s="431">
        <f>'Forest Glen'!D378</f>
        <v>1.1962738528459369E-2</v>
      </c>
      <c r="D43" s="431">
        <f>NC!D260</f>
        <v>0.10096457885735118</v>
      </c>
      <c r="E43" s="431">
        <f>Rosslyn!D256</f>
        <v>0.1726111370635397</v>
      </c>
      <c r="F43" s="431">
        <f>WH!D253</f>
        <v>0.15259744434817155</v>
      </c>
      <c r="G43" s="431">
        <f>'A-N Drive'!D320</f>
        <v>0.20172222499080239</v>
      </c>
      <c r="H43" s="431">
        <f>VRE!D198</f>
        <v>8.3536166236773346E-2</v>
      </c>
      <c r="I43" s="546"/>
      <c r="J43" s="546"/>
    </row>
    <row r="44" spans="1:10" ht="15.75">
      <c r="A44" s="440" t="s">
        <v>184</v>
      </c>
      <c r="B44" s="432">
        <f>FT!D257</f>
        <v>1.677140776760766</v>
      </c>
      <c r="C44" s="432">
        <f>'Forest Glen'!D379</f>
        <v>1.1130303002036366</v>
      </c>
      <c r="D44" s="432">
        <f>NC!D261</f>
        <v>1.9992865736404535</v>
      </c>
      <c r="E44" s="432">
        <f>Rosslyn!D257</f>
        <v>2.352717255639301</v>
      </c>
      <c r="F44" s="432">
        <f>WH!D254</f>
        <v>2.2578411836105001</v>
      </c>
      <c r="G44" s="432">
        <f>'A-N Drive'!D321</f>
        <v>2.0352917368068129</v>
      </c>
      <c r="H44" s="432">
        <f>VRE!D199</f>
        <v>1.6973687920161091</v>
      </c>
      <c r="I44" s="546"/>
      <c r="J44" s="546"/>
    </row>
    <row r="45" spans="1:10">
      <c r="A45" s="546"/>
      <c r="B45" s="546"/>
      <c r="C45" s="546"/>
      <c r="D45" s="546"/>
      <c r="E45" s="546"/>
      <c r="F45" s="546"/>
      <c r="G45" s="546"/>
      <c r="H45" s="546"/>
      <c r="I45" s="546"/>
      <c r="J45" s="546"/>
    </row>
    <row r="48" spans="1:10" ht="23.25">
      <c r="A48" s="470" t="s">
        <v>604</v>
      </c>
    </row>
    <row r="49" spans="1:4" ht="15" customHeight="1">
      <c r="A49" s="470"/>
    </row>
    <row r="50" spans="1:4" ht="15.75">
      <c r="A50" s="477" t="s">
        <v>605</v>
      </c>
      <c r="B50" s="276"/>
    </row>
    <row r="51" spans="1:4" ht="15.75">
      <c r="A51" s="471" t="s">
        <v>183</v>
      </c>
      <c r="B51" s="472">
        <f>IRR(B99:Y99)</f>
        <v>0.17382281997200186</v>
      </c>
    </row>
    <row r="52" spans="1:4" ht="15.75">
      <c r="A52" s="440" t="s">
        <v>596</v>
      </c>
      <c r="B52" s="474">
        <f>-SUM(B98:Y98)/SUM(B97:Y97)</f>
        <v>2.4673435074864982</v>
      </c>
    </row>
    <row r="53" spans="1:4" ht="15.75">
      <c r="A53" s="477" t="s">
        <v>580</v>
      </c>
      <c r="B53" s="276"/>
    </row>
    <row r="54" spans="1:4" ht="15.75">
      <c r="A54" s="471" t="s">
        <v>183</v>
      </c>
      <c r="B54" s="472">
        <f>IRR(B102:Y102)</f>
        <v>0.13963380579805984</v>
      </c>
    </row>
    <row r="55" spans="1:4" ht="15.75">
      <c r="A55" s="440" t="s">
        <v>596</v>
      </c>
      <c r="B55" s="474">
        <f>(SUM(FT!F233:AC233)+ SUM('Forest Glen'!F355:AC355)+ SUM(NC!F237:AC237)+ SUM(Rosslyn!F233:AC233)+ SUM(WH!F230:AC230)+ SUM('A-N Drive'!F297:AC297)+ SUM(VRE!F175:AC175))/- (SUM(FT!F224:AC224)+ SUM('Forest Glen'!F346:AC346)+ SUM(NC!F228:AC228)+ SUM(Rosslyn!F224:AC224)+ SUM(WH!F221:AC221)+ SUM('A-N Drive'!F288:AC288)+ SUM(VRE!F166:AC166))</f>
        <v>2.0681133161412313</v>
      </c>
    </row>
    <row r="56" spans="1:4" ht="15.75">
      <c r="A56" s="477" t="s">
        <v>597</v>
      </c>
      <c r="B56" s="276"/>
    </row>
    <row r="57" spans="1:4" ht="15.75">
      <c r="A57" s="471" t="s">
        <v>183</v>
      </c>
      <c r="B57" s="472">
        <f>IRR(B105:Y105)</f>
        <v>9.7030672871029039E-2</v>
      </c>
    </row>
    <row r="58" spans="1:4" ht="15.75">
      <c r="A58" s="440" t="s">
        <v>596</v>
      </c>
      <c r="B58" s="474">
        <f>(SUM(FT!F254:AC254)+ SUM('Forest Glen'!F376:AC376)+ SUM(NC!F258:AC258)+ SUM(Rosslyn!F254:AC254)+ SUM(WH!F251:AC251)+ SUM('A-N Drive'!F318:AC318)+ SUM(VRE!F196:AC196))/- (SUM(FT!F245:AC245)+ SUM('Forest Glen'!F367:AC367)+ SUM(NC!F249:AC249)+ SUM(Rosslyn!F245:AC245)+ SUM(WH!F242:AC242)+ SUM('A-N Drive'!F309:AC309)+ SUM(VRE!F187:AC187))</f>
        <v>1.6540643307638432</v>
      </c>
    </row>
    <row r="59" spans="1:4" ht="23.25">
      <c r="A59" s="470"/>
    </row>
    <row r="60" spans="1:4" ht="31.5">
      <c r="A60" s="477" t="s">
        <v>608</v>
      </c>
      <c r="B60" s="480" t="s">
        <v>614</v>
      </c>
      <c r="C60" s="480" t="s">
        <v>615</v>
      </c>
      <c r="D60" s="490" t="s">
        <v>616</v>
      </c>
    </row>
    <row r="61" spans="1:4" ht="14.25" customHeight="1">
      <c r="A61" s="473" t="s">
        <v>351</v>
      </c>
      <c r="B61" s="487">
        <f>J112</f>
        <v>6712000.2676794156</v>
      </c>
      <c r="C61" s="487">
        <f>Y112</f>
        <v>8040230.1045242231</v>
      </c>
      <c r="D61" s="491">
        <f>SUM(B112:Y112)</f>
        <v>157524053.66772509</v>
      </c>
    </row>
    <row r="62" spans="1:4" ht="14.25" customHeight="1">
      <c r="A62" s="473" t="s">
        <v>261</v>
      </c>
      <c r="B62" s="487">
        <f t="shared" ref="B62:B71" si="0">J113</f>
        <v>924316.38762588566</v>
      </c>
      <c r="C62" s="487">
        <f t="shared" ref="C62:C71" si="1">Y113</f>
        <v>1246291.4314961091</v>
      </c>
      <c r="D62" s="491">
        <f>SUM(B113:Y113)</f>
        <v>22736516.98306635</v>
      </c>
    </row>
    <row r="63" spans="1:4" ht="14.25" customHeight="1">
      <c r="A63" s="473" t="s">
        <v>397</v>
      </c>
      <c r="B63" s="487">
        <f t="shared" si="0"/>
        <v>290619.81767202937</v>
      </c>
      <c r="C63" s="487">
        <f t="shared" si="1"/>
        <v>337400.5861325154</v>
      </c>
      <c r="D63" s="491">
        <f>SUM(B114:Y114)</f>
        <v>6678709.1993840486</v>
      </c>
    </row>
    <row r="64" spans="1:4" ht="14.25" customHeight="1">
      <c r="A64" s="473" t="s">
        <v>352</v>
      </c>
      <c r="B64" s="487">
        <f t="shared" si="0"/>
        <v>3959.9175920294847</v>
      </c>
      <c r="C64" s="487">
        <f t="shared" si="1"/>
        <v>4034.3904875156081</v>
      </c>
      <c r="D64" s="491">
        <f>SUM(B115:Y115)</f>
        <v>74261.050495556497</v>
      </c>
    </row>
    <row r="65" spans="1:25" ht="14.25" customHeight="1">
      <c r="A65" s="475" t="s">
        <v>606</v>
      </c>
      <c r="B65" s="487">
        <f t="shared" si="0"/>
        <v>228940.62579369385</v>
      </c>
      <c r="C65" s="487">
        <f t="shared" si="1"/>
        <v>270710.33843019919</v>
      </c>
      <c r="D65" s="491">
        <f>SUM(B116:Y116)</f>
        <v>5274750.063267611</v>
      </c>
    </row>
    <row r="66" spans="1:25" ht="14.25" customHeight="1">
      <c r="A66" s="479" t="s">
        <v>420</v>
      </c>
      <c r="B66" s="488"/>
      <c r="C66" s="488"/>
      <c r="D66" s="492"/>
    </row>
    <row r="67" spans="1:25" ht="14.25" customHeight="1">
      <c r="A67" s="478" t="s">
        <v>488</v>
      </c>
      <c r="B67" s="487">
        <f t="shared" si="0"/>
        <v>390100.69104942406</v>
      </c>
      <c r="C67" s="487">
        <f t="shared" si="1"/>
        <v>463073.10364799603</v>
      </c>
      <c r="D67" s="491">
        <f>SUM(B118:Y118)</f>
        <v>9008753.956141917</v>
      </c>
    </row>
    <row r="68" spans="1:25" ht="14.25" customHeight="1">
      <c r="A68" s="478" t="s">
        <v>489</v>
      </c>
      <c r="B68" s="489">
        <f t="shared" si="0"/>
        <v>-78865.518464703186</v>
      </c>
      <c r="C68" s="489">
        <f t="shared" si="1"/>
        <v>-91955.286476361056</v>
      </c>
      <c r="D68" s="493">
        <f>SUM(B119:Y119)</f>
        <v>-1851945.1747117252</v>
      </c>
    </row>
    <row r="69" spans="1:25" ht="14.25" customHeight="1">
      <c r="A69" s="478" t="s">
        <v>490</v>
      </c>
      <c r="B69" s="489">
        <f t="shared" si="0"/>
        <v>-224031.78458576108</v>
      </c>
      <c r="C69" s="489">
        <f t="shared" si="1"/>
        <v>-265354.87953069858</v>
      </c>
      <c r="D69" s="493">
        <f>SUM(B120:Y120)</f>
        <v>-5169019.9384773755</v>
      </c>
    </row>
    <row r="70" spans="1:25" ht="14.25" customHeight="1">
      <c r="A70" s="478" t="s">
        <v>491</v>
      </c>
      <c r="B70" s="489">
        <f t="shared" si="0"/>
        <v>-1369482.3302213633</v>
      </c>
      <c r="C70" s="489">
        <f t="shared" si="1"/>
        <v>-1675947.1058286787</v>
      </c>
      <c r="D70" s="493">
        <f>SUM(B121:Y121)</f>
        <v>-31944479.379518222</v>
      </c>
    </row>
    <row r="71" spans="1:25" ht="14.25" customHeight="1">
      <c r="A71" s="478" t="s">
        <v>492</v>
      </c>
      <c r="B71" s="486">
        <f t="shared" si="0"/>
        <v>207769.1554754911</v>
      </c>
      <c r="C71" s="486">
        <f t="shared" si="1"/>
        <v>252256.7878628069</v>
      </c>
      <c r="D71" s="494">
        <f>SUM(B122:Y122)</f>
        <v>4919027.0660277242</v>
      </c>
    </row>
    <row r="72" spans="1:25" ht="14.25" customHeight="1">
      <c r="A72" s="483" t="s">
        <v>617</v>
      </c>
      <c r="B72" s="496"/>
      <c r="C72" s="502"/>
      <c r="D72" s="503"/>
    </row>
    <row r="73" spans="1:25" ht="14.25" customHeight="1">
      <c r="A73" s="473" t="s">
        <v>351</v>
      </c>
      <c r="B73" s="497"/>
      <c r="C73" s="498"/>
      <c r="D73" s="501">
        <f>Z124</f>
        <v>-86.579012128646838</v>
      </c>
    </row>
    <row r="74" spans="1:25" ht="14.25" customHeight="1">
      <c r="A74" s="473" t="s">
        <v>261</v>
      </c>
      <c r="B74" s="499"/>
      <c r="C74" s="500"/>
      <c r="D74" s="501">
        <f>Z125</f>
        <v>-14.620874550533804</v>
      </c>
    </row>
    <row r="75" spans="1:25" ht="14.25" customHeight="1">
      <c r="A75" s="473" t="s">
        <v>609</v>
      </c>
      <c r="B75" s="199"/>
      <c r="C75" s="199"/>
      <c r="D75" s="501">
        <f>Z126</f>
        <v>-26.260885248044108</v>
      </c>
    </row>
    <row r="76" spans="1:25" ht="15">
      <c r="A76" s="481"/>
      <c r="B76" s="76"/>
      <c r="C76" s="76"/>
      <c r="D76" s="76"/>
    </row>
    <row r="77" spans="1:25" ht="23.25">
      <c r="A77" s="470" t="s">
        <v>607</v>
      </c>
      <c r="B77" s="76"/>
      <c r="C77" s="76"/>
      <c r="D77" s="76"/>
    </row>
    <row r="78" spans="1:25" ht="13.5" customHeight="1">
      <c r="A78" s="481"/>
      <c r="B78" s="542" t="s">
        <v>1</v>
      </c>
      <c r="C78" s="76"/>
      <c r="D78" s="76"/>
    </row>
    <row r="79" spans="1:25">
      <c r="B79" s="543" t="s">
        <v>0</v>
      </c>
    </row>
    <row r="80" spans="1:25">
      <c r="B80" s="452">
        <v>2013</v>
      </c>
      <c r="C80" s="452">
        <v>2014</v>
      </c>
      <c r="D80" s="452">
        <v>2015</v>
      </c>
      <c r="E80" s="452">
        <v>2016</v>
      </c>
      <c r="F80" s="452">
        <v>2017</v>
      </c>
      <c r="G80" s="452">
        <v>2018</v>
      </c>
      <c r="H80" s="452">
        <v>2019</v>
      </c>
      <c r="I80" s="452">
        <v>2020</v>
      </c>
      <c r="J80" s="452">
        <v>2021</v>
      </c>
      <c r="K80" s="452">
        <v>2022</v>
      </c>
      <c r="L80" s="452">
        <v>2023</v>
      </c>
      <c r="M80" s="452">
        <v>2024</v>
      </c>
      <c r="N80" s="452">
        <v>2025</v>
      </c>
      <c r="O80" s="452">
        <v>2026</v>
      </c>
      <c r="P80" s="452">
        <v>2027</v>
      </c>
      <c r="Q80" s="452">
        <v>2028</v>
      </c>
      <c r="R80" s="452">
        <v>2029</v>
      </c>
      <c r="S80" s="452">
        <v>2030</v>
      </c>
      <c r="T80" s="452">
        <v>2031</v>
      </c>
      <c r="U80" s="452">
        <v>2032</v>
      </c>
      <c r="V80" s="452">
        <v>2033</v>
      </c>
      <c r="W80" s="452">
        <v>2034</v>
      </c>
      <c r="X80" s="452">
        <v>2035</v>
      </c>
      <c r="Y80" s="452">
        <v>2036</v>
      </c>
    </row>
    <row r="81" spans="1:25">
      <c r="B81" s="452" t="s">
        <v>18</v>
      </c>
      <c r="C81" s="453" t="s">
        <v>19</v>
      </c>
      <c r="D81" s="453" t="s">
        <v>20</v>
      </c>
      <c r="E81" s="453" t="s">
        <v>21</v>
      </c>
      <c r="F81" s="453" t="s">
        <v>22</v>
      </c>
      <c r="G81" s="453" t="s">
        <v>23</v>
      </c>
      <c r="H81" s="453" t="s">
        <v>24</v>
      </c>
      <c r="I81" s="453" t="s">
        <v>25</v>
      </c>
      <c r="J81" s="453" t="s">
        <v>26</v>
      </c>
      <c r="K81" s="453" t="s">
        <v>27</v>
      </c>
      <c r="L81" s="453" t="s">
        <v>28</v>
      </c>
      <c r="M81" s="453" t="s">
        <v>29</v>
      </c>
      <c r="N81" s="453" t="s">
        <v>30</v>
      </c>
      <c r="O81" s="453" t="s">
        <v>31</v>
      </c>
      <c r="P81" s="453" t="s">
        <v>32</v>
      </c>
      <c r="Q81" s="453" t="s">
        <v>33</v>
      </c>
      <c r="R81" s="453" t="s">
        <v>34</v>
      </c>
      <c r="S81" s="453" t="s">
        <v>35</v>
      </c>
      <c r="T81" s="453" t="s">
        <v>36</v>
      </c>
      <c r="U81" s="453" t="s">
        <v>123</v>
      </c>
      <c r="V81" s="453" t="s">
        <v>242</v>
      </c>
      <c r="W81" s="453" t="s">
        <v>243</v>
      </c>
      <c r="X81" s="453" t="s">
        <v>244</v>
      </c>
      <c r="Y81" s="453" t="s">
        <v>245</v>
      </c>
    </row>
    <row r="82" spans="1:25" ht="14.25" customHeight="1">
      <c r="A82" s="540" t="s">
        <v>576</v>
      </c>
      <c r="B82" s="454">
        <f>FT!F203</f>
        <v>0</v>
      </c>
      <c r="C82" s="454">
        <f>FT!G203</f>
        <v>-1824319.7180464617</v>
      </c>
      <c r="D82" s="454">
        <f>FT!H203</f>
        <v>-2523754.7709367573</v>
      </c>
      <c r="E82" s="454">
        <f>FT!I203</f>
        <v>-90016.03067416836</v>
      </c>
      <c r="F82" s="454">
        <f>FT!J203</f>
        <v>-93873.000700417906</v>
      </c>
      <c r="G82" s="454">
        <f>FT!K203</f>
        <v>-98164.450331018685</v>
      </c>
      <c r="H82" s="454">
        <f>FT!L203</f>
        <v>-102949.81637584601</v>
      </c>
      <c r="I82" s="454">
        <f>FT!M203</f>
        <v>-108296.66660036601</v>
      </c>
      <c r="J82" s="454">
        <f>FT!N203</f>
        <v>-113812.62537564167</v>
      </c>
      <c r="K82" s="454">
        <f>FT!O203</f>
        <v>-120054.19815186891</v>
      </c>
      <c r="L82" s="454">
        <f>FT!P203</f>
        <v>-127120.64892437795</v>
      </c>
      <c r="M82" s="454">
        <f>FT!Q203</f>
        <v>-135124.82100306015</v>
      </c>
      <c r="N82" s="454">
        <f>FT!R203</f>
        <v>-144194.99466259993</v>
      </c>
      <c r="O82" s="454">
        <f>FT!S203</f>
        <v>-154476.99891925865</v>
      </c>
      <c r="P82" s="454">
        <f>FT!T203</f>
        <v>-166136.6121987222</v>
      </c>
      <c r="Q82" s="454">
        <f>FT!U203</f>
        <v>-179362.29141531029</v>
      </c>
      <c r="R82" s="454">
        <f>FT!V203</f>
        <v>-194368.27438922145</v>
      </c>
      <c r="S82" s="454">
        <f>FT!W203</f>
        <v>-211398.10667445761</v>
      </c>
      <c r="T82" s="454">
        <f>FT!X203</f>
        <v>-230735.14018023241</v>
      </c>
      <c r="U82" s="454">
        <f>FT!Y203</f>
        <v>-252687.62297064654</v>
      </c>
      <c r="V82" s="454">
        <f>FT!Z203</f>
        <v>-277613.34850783879</v>
      </c>
      <c r="W82" s="454">
        <f>FT!AA203</f>
        <v>-305919.05639956845</v>
      </c>
      <c r="X82" s="454">
        <f>FT!AB203</f>
        <v>-338067.12823193613</v>
      </c>
      <c r="Y82" s="454">
        <f>FT!AC203</f>
        <v>-374583.19939202111</v>
      </c>
    </row>
    <row r="83" spans="1:25" ht="14.25" customHeight="1">
      <c r="A83" s="541"/>
      <c r="B83" s="454">
        <f>FT!F212</f>
        <v>0</v>
      </c>
      <c r="C83" s="454">
        <f>FT!G212</f>
        <v>372858.18269646342</v>
      </c>
      <c r="D83" s="454">
        <f>FT!H212</f>
        <v>786934.64172895101</v>
      </c>
      <c r="E83" s="454">
        <f>FT!I212</f>
        <v>793156.34716047312</v>
      </c>
      <c r="F83" s="454">
        <f>FT!J212</f>
        <v>799576.47917534376</v>
      </c>
      <c r="G83" s="454">
        <f>FT!K212</f>
        <v>806054.09151561186</v>
      </c>
      <c r="H83" s="454">
        <f>FT!L212</f>
        <v>812639.66709135287</v>
      </c>
      <c r="I83" s="454">
        <f>FT!M212</f>
        <v>819351.21289588173</v>
      </c>
      <c r="J83" s="454">
        <f>FT!N212</f>
        <v>820898.93636631221</v>
      </c>
      <c r="K83" s="454">
        <f>FT!O212</f>
        <v>823270.24014049466</v>
      </c>
      <c r="L83" s="454">
        <f>FT!P212</f>
        <v>828198.74885963532</v>
      </c>
      <c r="M83" s="454">
        <f>FT!Q212</f>
        <v>833445.26951745024</v>
      </c>
      <c r="N83" s="454">
        <f>FT!R212</f>
        <v>839070.63632980711</v>
      </c>
      <c r="O83" s="454">
        <f>FT!S212</f>
        <v>845108.70433213073</v>
      </c>
      <c r="P83" s="454">
        <f>FT!T212</f>
        <v>851633.00294572976</v>
      </c>
      <c r="Q83" s="454">
        <f>FT!U212</f>
        <v>858692.33854774199</v>
      </c>
      <c r="R83" s="454">
        <f>FT!V212</f>
        <v>866376.74156460143</v>
      </c>
      <c r="S83" s="454">
        <f>FT!W212</f>
        <v>874754.26108616032</v>
      </c>
      <c r="T83" s="454">
        <f>FT!X212</f>
        <v>884003.58121143002</v>
      </c>
      <c r="U83" s="454">
        <f>FT!Y212</f>
        <v>894166.65500169154</v>
      </c>
      <c r="V83" s="454">
        <f>FT!Z212</f>
        <v>905937.45675229887</v>
      </c>
      <c r="W83" s="454">
        <f>FT!AA212</f>
        <v>918899.96495092753</v>
      </c>
      <c r="X83" s="454">
        <f>FT!AB212</f>
        <v>933199.97162811493</v>
      </c>
      <c r="Y83" s="454">
        <f>FT!AC212</f>
        <v>949037.5570374215</v>
      </c>
    </row>
    <row r="84" spans="1:25" ht="14.25" customHeight="1">
      <c r="A84" s="540" t="s">
        <v>574</v>
      </c>
      <c r="B84" s="454">
        <f>'Forest Glen'!F325</f>
        <v>-1035667</v>
      </c>
      <c r="C84" s="454">
        <f>'Forest Glen'!G325</f>
        <v>-2319515</v>
      </c>
      <c r="D84" s="454">
        <f>'Forest Glen'!H325</f>
        <v>-3859895.7593749999</v>
      </c>
      <c r="E84" s="454">
        <f>'Forest Glen'!I325</f>
        <v>-7116871.5062499996</v>
      </c>
      <c r="F84" s="454">
        <f>'Forest Glen'!J325</f>
        <v>-2068705.4737988443</v>
      </c>
      <c r="G84" s="454">
        <f>'Forest Glen'!K325</f>
        <v>-437126.87360668962</v>
      </c>
      <c r="H84" s="454">
        <f>'Forest Glen'!L325</f>
        <v>-441419.05275204114</v>
      </c>
      <c r="I84" s="454">
        <f>'Forest Glen'!M325</f>
        <v>-407139.31185050355</v>
      </c>
      <c r="J84" s="454">
        <f>'Forest Glen'!N325</f>
        <v>-448907.00667840586</v>
      </c>
      <c r="K84" s="454">
        <f>'Forest Glen'!O325</f>
        <v>-452103.39921878616</v>
      </c>
      <c r="L84" s="454">
        <f>'Forest Glen'!P325</f>
        <v>-455331.45733596815</v>
      </c>
      <c r="M84" s="454">
        <f>'Forest Glen'!Q325</f>
        <v>-458591.49768571986</v>
      </c>
      <c r="N84" s="454">
        <f>'Forest Glen'!R325</f>
        <v>-461883.8400903669</v>
      </c>
      <c r="O84" s="454">
        <f>'Forest Glen'!S325</f>
        <v>-465208.8075704581</v>
      </c>
      <c r="P84" s="454">
        <f>'Forest Glen'!T325</f>
        <v>-468566.72637674806</v>
      </c>
      <c r="Q84" s="454">
        <f>'Forest Glen'!U325</f>
        <v>-471957.92602249875</v>
      </c>
      <c r="R84" s="454">
        <f>'Forest Glen'!V325</f>
        <v>-475382.73931610491</v>
      </c>
      <c r="S84" s="454">
        <f>'Forest Glen'!W325</f>
        <v>-478841.50239404477</v>
      </c>
      <c r="T84" s="454">
        <f>'Forest Glen'!X325</f>
        <v>-482635.37692102417</v>
      </c>
      <c r="U84" s="454">
        <f>'Forest Glen'!Y325</f>
        <v>-486163.28632565739</v>
      </c>
      <c r="V84" s="454">
        <f>'Forest Glen'!Z325</f>
        <v>-489726.17422703956</v>
      </c>
      <c r="W84" s="454">
        <f>'Forest Glen'!AA325</f>
        <v>-493324.39041013818</v>
      </c>
      <c r="X84" s="454">
        <f>'Forest Glen'!AB325</f>
        <v>-496958.28815777035</v>
      </c>
      <c r="Y84" s="454">
        <f>'Forest Glen'!AC325</f>
        <v>-19752851.403789304</v>
      </c>
    </row>
    <row r="85" spans="1:25" ht="14.25" customHeight="1">
      <c r="A85" s="541"/>
      <c r="B85" s="454">
        <f>'Forest Glen'!F334</f>
        <v>0</v>
      </c>
      <c r="C85" s="454">
        <f>'Forest Glen'!G334</f>
        <v>0</v>
      </c>
      <c r="D85" s="454">
        <f>'Forest Glen'!H334</f>
        <v>0</v>
      </c>
      <c r="E85" s="454">
        <f>'Forest Glen'!I334</f>
        <v>0</v>
      </c>
      <c r="F85" s="454">
        <f>'Forest Glen'!J334</f>
        <v>1307769.8156985682</v>
      </c>
      <c r="G85" s="454">
        <f>'Forest Glen'!K334</f>
        <v>1695495.3996120524</v>
      </c>
      <c r="H85" s="454">
        <f>'Forest Glen'!L334</f>
        <v>1724828.6904739374</v>
      </c>
      <c r="I85" s="454">
        <f>'Forest Glen'!M334</f>
        <v>898808.13792564161</v>
      </c>
      <c r="J85" s="454">
        <f>'Forest Glen'!N334</f>
        <v>1757866.7267759</v>
      </c>
      <c r="K85" s="454">
        <f>'Forest Glen'!O334</f>
        <v>1761626.7386957384</v>
      </c>
      <c r="L85" s="454">
        <f>'Forest Glen'!P334</f>
        <v>1768423.2568868718</v>
      </c>
      <c r="M85" s="454">
        <f>'Forest Glen'!Q334</f>
        <v>1775269.9522083434</v>
      </c>
      <c r="N85" s="454">
        <f>'Forest Glen'!R334</f>
        <v>1782188.9529565419</v>
      </c>
      <c r="O85" s="454">
        <f>'Forest Glen'!S334</f>
        <v>1789159.5394650192</v>
      </c>
      <c r="P85" s="454">
        <f>'Forest Glen'!T334</f>
        <v>1796203.5739704557</v>
      </c>
      <c r="Q85" s="454">
        <f>'Forest Glen'!U334</f>
        <v>1803300.6370349019</v>
      </c>
      <c r="R85" s="454">
        <f>'Forest Glen'!V334</f>
        <v>1810472.3156208354</v>
      </c>
      <c r="S85" s="454">
        <f>'Forest Glen'!W334</f>
        <v>1817698.5007382049</v>
      </c>
      <c r="T85" s="454">
        <f>'Forest Glen'!X334</f>
        <v>1831646.9250852359</v>
      </c>
      <c r="U85" s="454">
        <f>'Forest Glen'!Y334</f>
        <v>1839021.9154565632</v>
      </c>
      <c r="V85" s="454">
        <f>'Forest Glen'!Z334</f>
        <v>1847216.8205233875</v>
      </c>
      <c r="W85" s="454">
        <f>'Forest Glen'!AA334</f>
        <v>1855501.9239092777</v>
      </c>
      <c r="X85" s="454">
        <f>'Forest Glen'!AB334</f>
        <v>1863857.6276174064</v>
      </c>
      <c r="Y85" s="454">
        <f>'Forest Glen'!AC334</f>
        <v>60067165.387487434</v>
      </c>
    </row>
    <row r="86" spans="1:25" ht="14.25" customHeight="1">
      <c r="A86" s="540" t="s">
        <v>575</v>
      </c>
      <c r="B86" s="454">
        <f>NC!F207</f>
        <v>-534024</v>
      </c>
      <c r="C86" s="454">
        <f>NC!G207</f>
        <v>-133637.63808030146</v>
      </c>
      <c r="D86" s="454">
        <f>NC!H207</f>
        <v>-7551.5909805144765</v>
      </c>
      <c r="E86" s="454">
        <f>NC!I207</f>
        <v>-7620.8747684888231</v>
      </c>
      <c r="F86" s="454">
        <f>NC!J207</f>
        <v>-7690.1585564631714</v>
      </c>
      <c r="G86" s="454">
        <f>NC!K207</f>
        <v>-7759.4423444375234</v>
      </c>
      <c r="H86" s="454">
        <f>NC!L207</f>
        <v>-7828.7261324118708</v>
      </c>
      <c r="I86" s="454">
        <f>NC!M207</f>
        <v>-7898.0099203862183</v>
      </c>
      <c r="J86" s="454">
        <f>NC!N207</f>
        <v>-7877.6326101594832</v>
      </c>
      <c r="K86" s="454">
        <f>NC!O207</f>
        <v>-7857.2552999327445</v>
      </c>
      <c r="L86" s="454">
        <f>NC!P207</f>
        <v>-7836.8779897060076</v>
      </c>
      <c r="M86" s="454">
        <f>NC!Q207</f>
        <v>-7816.5006794792725</v>
      </c>
      <c r="N86" s="454">
        <f>NC!R207</f>
        <v>-7796.1233692525348</v>
      </c>
      <c r="O86" s="454">
        <f>NC!S207</f>
        <v>-7775.7460590257961</v>
      </c>
      <c r="P86" s="454">
        <f>NC!T207</f>
        <v>-7755.3687487990592</v>
      </c>
      <c r="Q86" s="454">
        <f>NC!U207</f>
        <v>-7734.9914385723196</v>
      </c>
      <c r="R86" s="454">
        <f>NC!V207</f>
        <v>-7714.6141283455836</v>
      </c>
      <c r="S86" s="454">
        <f>NC!W207</f>
        <v>-7694.236818118844</v>
      </c>
      <c r="T86" s="454">
        <f>NC!X207</f>
        <v>-7475.9070495220549</v>
      </c>
      <c r="U86" s="454">
        <f>NC!Y207</f>
        <v>-7456.0588887405283</v>
      </c>
      <c r="V86" s="454">
        <f>NC!Z207</f>
        <v>-7436.2107279590027</v>
      </c>
      <c r="W86" s="454">
        <f>NC!AA207</f>
        <v>-7416.3625671774762</v>
      </c>
      <c r="X86" s="454">
        <f>NC!AB207</f>
        <v>-7396.5144063959515</v>
      </c>
      <c r="Y86" s="454">
        <f>NC!AC207</f>
        <v>-7376.6662456144222</v>
      </c>
    </row>
    <row r="87" spans="1:25" ht="14.25" customHeight="1">
      <c r="A87" s="541"/>
      <c r="B87" s="454">
        <f>NC!F216</f>
        <v>0</v>
      </c>
      <c r="C87" s="454">
        <f>NC!G216</f>
        <v>43782.980514879397</v>
      </c>
      <c r="D87" s="454">
        <f>NC!H216</f>
        <v>137104.64679360719</v>
      </c>
      <c r="E87" s="454">
        <f>NC!I216</f>
        <v>138108.05542478559</v>
      </c>
      <c r="F87" s="454">
        <f>NC!J216</f>
        <v>139202.52555508324</v>
      </c>
      <c r="G87" s="454">
        <f>NC!K216</f>
        <v>140230.23784587166</v>
      </c>
      <c r="H87" s="454">
        <f>NC!L216</f>
        <v>141224.31378674367</v>
      </c>
      <c r="I87" s="454">
        <f>NC!M216</f>
        <v>142180.82205704003</v>
      </c>
      <c r="J87" s="454">
        <f>NC!N216</f>
        <v>141595.64702809043</v>
      </c>
      <c r="K87" s="454">
        <f>NC!O216</f>
        <v>141035.31639942079</v>
      </c>
      <c r="L87" s="454">
        <f>NC!P216</f>
        <v>140694.49169739857</v>
      </c>
      <c r="M87" s="454">
        <f>NC!Q216</f>
        <v>140353.13390219747</v>
      </c>
      <c r="N87" s="454">
        <f>NC!R216</f>
        <v>140012.77409588912</v>
      </c>
      <c r="O87" s="454">
        <f>NC!S216</f>
        <v>139671.90951732273</v>
      </c>
      <c r="P87" s="454">
        <f>NC!T216</f>
        <v>139332.02379137452</v>
      </c>
      <c r="Q87" s="454">
        <f>NC!U216</f>
        <v>138991.66148044626</v>
      </c>
      <c r="R87" s="454">
        <f>NC!V216</f>
        <v>138652.25916744437</v>
      </c>
      <c r="S87" s="454">
        <f>NC!W216</f>
        <v>138312.40832585757</v>
      </c>
      <c r="T87" s="454">
        <f>NC!X216</f>
        <v>134416.2399654664</v>
      </c>
      <c r="U87" s="454">
        <f>NC!Y216</f>
        <v>134086.43160430156</v>
      </c>
      <c r="V87" s="454">
        <f>NC!Z216</f>
        <v>133805.22186420325</v>
      </c>
      <c r="W87" s="454">
        <f>NC!AA216</f>
        <v>133524.79624781758</v>
      </c>
      <c r="X87" s="454">
        <f>NC!AB216</f>
        <v>133243.86608019646</v>
      </c>
      <c r="Y87" s="454">
        <f>NC!AC216</f>
        <v>132963.71991496763</v>
      </c>
    </row>
    <row r="88" spans="1:25" ht="14.25" customHeight="1">
      <c r="A88" s="540" t="s">
        <v>611</v>
      </c>
      <c r="B88" s="454">
        <f>Rosslyn!F203</f>
        <v>-1614488.9667743067</v>
      </c>
      <c r="C88" s="454">
        <f>Rosslyn!G203</f>
        <v>-2810323.9646726111</v>
      </c>
      <c r="D88" s="454">
        <f>Rosslyn!H203</f>
        <v>-181586.36777911324</v>
      </c>
      <c r="E88" s="454">
        <f>Rosslyn!I203</f>
        <v>-184432.42912370019</v>
      </c>
      <c r="F88" s="454">
        <f>Rosslyn!J203</f>
        <v>-187278.4904682872</v>
      </c>
      <c r="G88" s="454">
        <f>Rosslyn!K203</f>
        <v>-190124.55181287407</v>
      </c>
      <c r="H88" s="454">
        <f>Rosslyn!L203</f>
        <v>-192970.61315746111</v>
      </c>
      <c r="I88" s="454">
        <f>Rosslyn!M203</f>
        <v>-195816.674502048</v>
      </c>
      <c r="J88" s="454">
        <f>Rosslyn!N203</f>
        <v>-199349.82032086875</v>
      </c>
      <c r="K88" s="454">
        <f>Rosslyn!O203</f>
        <v>-202882.96613968944</v>
      </c>
      <c r="L88" s="454">
        <f>Rosslyn!P203</f>
        <v>-206416.11195851018</v>
      </c>
      <c r="M88" s="454">
        <f>Rosslyn!Q203</f>
        <v>-209949.25777733093</v>
      </c>
      <c r="N88" s="454">
        <f>Rosslyn!R203</f>
        <v>-213482.40359615162</v>
      </c>
      <c r="O88" s="454">
        <f>Rosslyn!S203</f>
        <v>-217015.54941497237</v>
      </c>
      <c r="P88" s="454">
        <f>Rosslyn!T203</f>
        <v>-220548.69523379306</v>
      </c>
      <c r="Q88" s="454">
        <f>Rosslyn!U203</f>
        <v>-224081.8410526138</v>
      </c>
      <c r="R88" s="454">
        <f>Rosslyn!V203</f>
        <v>-227614.98687143449</v>
      </c>
      <c r="S88" s="454">
        <f>Rosslyn!W203</f>
        <v>-231148.13269025524</v>
      </c>
      <c r="T88" s="454">
        <f>Rosslyn!X203</f>
        <v>-235318.76970230247</v>
      </c>
      <c r="U88" s="454">
        <f>Rosslyn!Y203</f>
        <v>-239489.40671434969</v>
      </c>
      <c r="V88" s="454">
        <f>Rosslyn!Z203</f>
        <v>-243660.04372639692</v>
      </c>
      <c r="W88" s="454">
        <f>Rosslyn!AA203</f>
        <v>-247830.68073844409</v>
      </c>
      <c r="X88" s="454">
        <f>Rosslyn!AB203</f>
        <v>-252001.31775049138</v>
      </c>
      <c r="Y88" s="454">
        <f>Rosslyn!AC203</f>
        <v>-256171.95476253866</v>
      </c>
    </row>
    <row r="89" spans="1:25" ht="14.25" customHeight="1">
      <c r="A89" s="541"/>
      <c r="B89" s="454">
        <f>Rosslyn!F212</f>
        <v>0</v>
      </c>
      <c r="C89" s="454">
        <f>Rosslyn!G212</f>
        <v>570451.28353325557</v>
      </c>
      <c r="D89" s="454">
        <f>Rosslyn!H212</f>
        <v>1198408.3659256764</v>
      </c>
      <c r="E89" s="454">
        <f>Rosslyn!I212</f>
        <v>1219292.7311376673</v>
      </c>
      <c r="F89" s="454">
        <f>Rosslyn!J212</f>
        <v>1240216.7558213193</v>
      </c>
      <c r="G89" s="454">
        <f>Rosslyn!K212</f>
        <v>1261022.8952210082</v>
      </c>
      <c r="H89" s="454">
        <f>Rosslyn!L212</f>
        <v>1281742.6367972533</v>
      </c>
      <c r="I89" s="454">
        <f>Rosslyn!M212</f>
        <v>1302837.6786207955</v>
      </c>
      <c r="J89" s="454">
        <f>Rosslyn!N212</f>
        <v>1330177.2599848122</v>
      </c>
      <c r="K89" s="454">
        <f>Rosslyn!O212</f>
        <v>1358059.3849420049</v>
      </c>
      <c r="L89" s="454">
        <f>Rosslyn!P212</f>
        <v>1388337.0186478551</v>
      </c>
      <c r="M89" s="454">
        <f>Rosslyn!Q212</f>
        <v>1418618.6251201343</v>
      </c>
      <c r="N89" s="454">
        <f>Rosslyn!R212</f>
        <v>1448922.441361102</v>
      </c>
      <c r="O89" s="454">
        <f>Rosslyn!S212</f>
        <v>1479230.7535417282</v>
      </c>
      <c r="P89" s="454">
        <f>Rosslyn!T212</f>
        <v>1509561.9362685517</v>
      </c>
      <c r="Q89" s="454">
        <f>Rosslyn!U212</f>
        <v>1539898.1757087372</v>
      </c>
      <c r="R89" s="454">
        <f>Rosslyn!V212</f>
        <v>1570257.9527956364</v>
      </c>
      <c r="S89" s="454">
        <f>Rosslyn!W212</f>
        <v>1600726.1328718015</v>
      </c>
      <c r="T89" s="454">
        <f>Rosslyn!X212</f>
        <v>1636567.5190744235</v>
      </c>
      <c r="U89" s="454">
        <f>Rosslyn!Y212</f>
        <v>1672539.1031147696</v>
      </c>
      <c r="V89" s="454">
        <f>Rosslyn!Z212</f>
        <v>1709211.6383905343</v>
      </c>
      <c r="W89" s="454">
        <f>Rosslyn!AA212</f>
        <v>1745937.4073226079</v>
      </c>
      <c r="X89" s="454">
        <f>Rosslyn!AB212</f>
        <v>1782698.0562843273</v>
      </c>
      <c r="Y89" s="454">
        <f>Rosslyn!AC212</f>
        <v>1819513.2491112517</v>
      </c>
    </row>
    <row r="90" spans="1:25" ht="14.25" customHeight="1">
      <c r="A90" s="540" t="s">
        <v>598</v>
      </c>
      <c r="B90" s="454">
        <f>WH!F200</f>
        <v>-37500</v>
      </c>
      <c r="C90" s="454">
        <f>WH!G200</f>
        <v>-676744.82697682828</v>
      </c>
      <c r="D90" s="454">
        <f>WH!H200</f>
        <v>-16161.650433426585</v>
      </c>
      <c r="E90" s="454">
        <f>WH!I200</f>
        <v>-16343.992959539868</v>
      </c>
      <c r="F90" s="454">
        <f>WH!J200</f>
        <v>-16526.335485653151</v>
      </c>
      <c r="G90" s="454">
        <f>WH!K200</f>
        <v>-16708.678011766435</v>
      </c>
      <c r="H90" s="454">
        <f>WH!L200</f>
        <v>-16891.020537879711</v>
      </c>
      <c r="I90" s="454">
        <f>WH!M200</f>
        <v>-17073.363063992998</v>
      </c>
      <c r="J90" s="454">
        <f>WH!N200</f>
        <v>-17186.689191467631</v>
      </c>
      <c r="K90" s="454">
        <f>WH!O200</f>
        <v>-17300.015318942264</v>
      </c>
      <c r="L90" s="454">
        <f>WH!P200</f>
        <v>-17413.341446416904</v>
      </c>
      <c r="M90" s="454">
        <f>WH!Q200</f>
        <v>-17526.667573891536</v>
      </c>
      <c r="N90" s="454">
        <f>WH!R200</f>
        <v>-17639.993701366169</v>
      </c>
      <c r="O90" s="454">
        <f>WH!S200</f>
        <v>-17753.319828840809</v>
      </c>
      <c r="P90" s="454">
        <f>WH!T200</f>
        <v>-17866.645956315442</v>
      </c>
      <c r="Q90" s="454">
        <f>WH!U200</f>
        <v>-17979.972083790079</v>
      </c>
      <c r="R90" s="454">
        <f>WH!V200</f>
        <v>-18093.298211264711</v>
      </c>
      <c r="S90" s="454">
        <f>WH!W200</f>
        <v>-18206.624338739348</v>
      </c>
      <c r="T90" s="454">
        <f>WH!X200</f>
        <v>-18327.473760621651</v>
      </c>
      <c r="U90" s="454">
        <f>WH!Y200</f>
        <v>-18448.323182503962</v>
      </c>
      <c r="V90" s="454">
        <f>WH!Z200</f>
        <v>-18569.172604386269</v>
      </c>
      <c r="W90" s="454">
        <f>WH!AA200</f>
        <v>-18690.022026268576</v>
      </c>
      <c r="X90" s="454">
        <f>WH!AB200</f>
        <v>-18810.871448150883</v>
      </c>
      <c r="Y90" s="454">
        <f>WH!AC200</f>
        <v>-18931.72087003319</v>
      </c>
    </row>
    <row r="91" spans="1:25" ht="14.25" customHeight="1">
      <c r="A91" s="541"/>
      <c r="B91" s="454">
        <f>WH!F209</f>
        <v>0</v>
      </c>
      <c r="C91" s="454">
        <f>WH!G209</f>
        <v>42668.809007392134</v>
      </c>
      <c r="D91" s="454">
        <f>WH!H209</f>
        <v>172032.54606926569</v>
      </c>
      <c r="E91" s="454">
        <f>WH!I209</f>
        <v>173386.09869895139</v>
      </c>
      <c r="F91" s="454">
        <f>WH!J209</f>
        <v>174825.97907298896</v>
      </c>
      <c r="G91" s="454">
        <f>WH!K209</f>
        <v>176194.3558460942</v>
      </c>
      <c r="H91" s="454">
        <f>WH!L209</f>
        <v>177524.11211087747</v>
      </c>
      <c r="I91" s="454">
        <f>WH!M209</f>
        <v>178811.31906342669</v>
      </c>
      <c r="J91" s="454">
        <f>WH!N209</f>
        <v>179442.06772242434</v>
      </c>
      <c r="K91" s="454">
        <f>WH!O209</f>
        <v>180161.25818680727</v>
      </c>
      <c r="L91" s="454">
        <f>WH!P209</f>
        <v>181356.79208260612</v>
      </c>
      <c r="M91" s="454">
        <f>WH!Q209</f>
        <v>182551.35499581386</v>
      </c>
      <c r="N91" s="454">
        <f>WH!R209</f>
        <v>183748.41519214591</v>
      </c>
      <c r="O91" s="454">
        <f>WH!S209</f>
        <v>184944.56746239337</v>
      </c>
      <c r="P91" s="454">
        <f>WH!T209</f>
        <v>186143.23474550204</v>
      </c>
      <c r="Q91" s="454">
        <f>WH!U209</f>
        <v>187341.05981021648</v>
      </c>
      <c r="R91" s="454">
        <f>WH!V209</f>
        <v>188541.41796957763</v>
      </c>
      <c r="S91" s="454">
        <f>WH!W209</f>
        <v>189741.00232369234</v>
      </c>
      <c r="T91" s="454">
        <f>WH!X209</f>
        <v>191020.09704464005</v>
      </c>
      <c r="U91" s="454">
        <f>WH!Y209</f>
        <v>192301.71438459127</v>
      </c>
      <c r="V91" s="454">
        <f>WH!Z209</f>
        <v>193704.46592078853</v>
      </c>
      <c r="W91" s="454">
        <f>WH!AA209</f>
        <v>195111.7440238382</v>
      </c>
      <c r="X91" s="454">
        <f>WH!AB209</f>
        <v>196520.30866808316</v>
      </c>
      <c r="Y91" s="454">
        <f>WH!AC209</f>
        <v>197933.48379514285</v>
      </c>
    </row>
    <row r="92" spans="1:25" ht="14.25" customHeight="1">
      <c r="A92" s="540" t="s">
        <v>572</v>
      </c>
      <c r="B92" s="454">
        <f>'A-N Drive'!F267</f>
        <v>-1298775.0765570628</v>
      </c>
      <c r="C92" s="454">
        <f>'A-N Drive'!G267</f>
        <v>-6397207.0071956748</v>
      </c>
      <c r="D92" s="454">
        <f>'A-N Drive'!H267</f>
        <v>-661584.5479596433</v>
      </c>
      <c r="E92" s="454">
        <f>'A-N Drive'!I267</f>
        <v>-666435.71937261079</v>
      </c>
      <c r="F92" s="454">
        <f>'A-N Drive'!J267</f>
        <v>-671342.67416331312</v>
      </c>
      <c r="G92" s="454">
        <f>'A-N Drive'!K267</f>
        <v>-676305.97016552696</v>
      </c>
      <c r="H92" s="454">
        <f>'A-N Drive'!L267</f>
        <v>-681326.170791368</v>
      </c>
      <c r="I92" s="454">
        <f>'A-N Drive'!M267</f>
        <v>-686403.84508707211</v>
      </c>
      <c r="J92" s="454">
        <f>'A-N Drive'!N267</f>
        <v>-693743.27012289339</v>
      </c>
      <c r="K92" s="454">
        <f>'A-N Drive'!O267</f>
        <v>-701141.32404934173</v>
      </c>
      <c r="L92" s="454">
        <f>'A-N Drive'!P267</f>
        <v>-708598.59315532411</v>
      </c>
      <c r="M92" s="454">
        <f>'A-N Drive'!Q267</f>
        <v>-716115.66959263547</v>
      </c>
      <c r="N92" s="454">
        <f>'A-N Drive'!R267</f>
        <v>-723693.15143458918</v>
      </c>
      <c r="O92" s="454">
        <f>'A-N Drive'!S267</f>
        <v>-731331.6427352319</v>
      </c>
      <c r="P92" s="454">
        <f>'A-N Drive'!T267</f>
        <v>-739031.75358915026</v>
      </c>
      <c r="Q92" s="454">
        <f>'A-N Drive'!U267</f>
        <v>-746794.10019187699</v>
      </c>
      <c r="R92" s="454">
        <f>'A-N Drive'!V267</f>
        <v>-754619.30490090034</v>
      </c>
      <c r="S92" s="454">
        <f>'A-N Drive'!W267</f>
        <v>-762507.9962972831</v>
      </c>
      <c r="T92" s="454">
        <f>'A-N Drive'!X267</f>
        <v>-770678.90380776511</v>
      </c>
      <c r="U92" s="454">
        <f>'A-N Drive'!Y267</f>
        <v>-778914.57408802235</v>
      </c>
      <c r="V92" s="454">
        <f>'A-N Drive'!Z267</f>
        <v>-787215.65476575284</v>
      </c>
      <c r="W92" s="454">
        <f>'A-N Drive'!AA267</f>
        <v>-795582.79994493141</v>
      </c>
      <c r="X92" s="454">
        <f>'A-N Drive'!AB267</f>
        <v>-804016.67027057242</v>
      </c>
      <c r="Y92" s="454">
        <f>'A-N Drive'!AC267</f>
        <v>-812517.9329941402</v>
      </c>
    </row>
    <row r="93" spans="1:25" ht="14.25" customHeight="1">
      <c r="A93" s="541"/>
      <c r="B93" s="454">
        <f>'A-N Drive'!F276</f>
        <v>0</v>
      </c>
      <c r="C93" s="454">
        <f>'A-N Drive'!G276</f>
        <v>1195928.0824785512</v>
      </c>
      <c r="D93" s="454">
        <f>'A-N Drive'!H276</f>
        <v>2557092.075166598</v>
      </c>
      <c r="E93" s="454">
        <f>'A-N Drive'!I276</f>
        <v>2553025.2579270559</v>
      </c>
      <c r="F93" s="454">
        <f>'A-N Drive'!J276</f>
        <v>2680501.6840499369</v>
      </c>
      <c r="G93" s="454">
        <f>'A-N Drive'!K276</f>
        <v>2675861.9069644958</v>
      </c>
      <c r="H93" s="454">
        <f>'A-N Drive'!L276</f>
        <v>2671346.924828738</v>
      </c>
      <c r="I93" s="454">
        <f>'A-N Drive'!M276</f>
        <v>2666950.4060784392</v>
      </c>
      <c r="J93" s="454">
        <f>'A-N Drive'!N276</f>
        <v>2691593.9036162402</v>
      </c>
      <c r="K93" s="454">
        <f>'A-N Drive'!O276</f>
        <v>2717764.4272142854</v>
      </c>
      <c r="L93" s="454">
        <f>'A-N Drive'!P276</f>
        <v>2749883.4295031121</v>
      </c>
      <c r="M93" s="454">
        <f>'A-N Drive'!Q276</f>
        <v>2782112.2905175118</v>
      </c>
      <c r="N93" s="454">
        <f>'A-N Drive'!R276</f>
        <v>2814495.0790231321</v>
      </c>
      <c r="O93" s="454">
        <f>'A-N Drive'!S276</f>
        <v>2846990.7256290531</v>
      </c>
      <c r="P93" s="454">
        <f>'A-N Drive'!T276</f>
        <v>2879643.2134968564</v>
      </c>
      <c r="Q93" s="454">
        <f>'A-N Drive'!U276</f>
        <v>2912411.6535466397</v>
      </c>
      <c r="R93" s="454">
        <f>'A-N Drive'!V276</f>
        <v>2945339.900583325</v>
      </c>
      <c r="S93" s="454">
        <f>'A-N Drive'!W276</f>
        <v>2978387.290996002</v>
      </c>
      <c r="T93" s="454">
        <f>'A-N Drive'!X276</f>
        <v>3014428.2681166888</v>
      </c>
      <c r="U93" s="454">
        <f>'A-N Drive'!Y276</f>
        <v>3045814.8144701649</v>
      </c>
      <c r="V93" s="454">
        <f>'A-N Drive'!Z276</f>
        <v>3078648.0148121584</v>
      </c>
      <c r="W93" s="454">
        <f>'A-N Drive'!AA276</f>
        <v>3111692.0010931678</v>
      </c>
      <c r="X93" s="454">
        <f>'A-N Drive'!AB276</f>
        <v>3144906.2419712236</v>
      </c>
      <c r="Y93" s="454">
        <f>'A-N Drive'!AC276</f>
        <v>3087855.9585495964</v>
      </c>
    </row>
    <row r="94" spans="1:25" ht="14.25" customHeight="1">
      <c r="A94" s="540" t="s">
        <v>573</v>
      </c>
      <c r="B94" s="454">
        <f>VRE!F145</f>
        <v>0</v>
      </c>
      <c r="C94" s="454">
        <f>VRE!G145</f>
        <v>-275620</v>
      </c>
      <c r="D94" s="454">
        <f>VRE!H145</f>
        <v>-18967.091571231867</v>
      </c>
      <c r="E94" s="454">
        <f>VRE!I145</f>
        <v>-11635.800728355054</v>
      </c>
      <c r="F94" s="454">
        <f>VRE!J145</f>
        <v>-12297.484068620704</v>
      </c>
      <c r="G94" s="454">
        <f>VRE!K145</f>
        <v>-12972.401075691667</v>
      </c>
      <c r="H94" s="454">
        <f>VRE!L145</f>
        <v>-13660.816422904049</v>
      </c>
      <c r="I94" s="454">
        <f>VRE!M145</f>
        <v>-14363.000077060682</v>
      </c>
      <c r="J94" s="454">
        <f>VRE!N145</f>
        <v>-15079.227404300453</v>
      </c>
      <c r="K94" s="454">
        <f>VRE!O145</f>
        <v>-15809.779278085003</v>
      </c>
      <c r="L94" s="454">
        <f>VRE!P145</f>
        <v>-16554.94218934526</v>
      </c>
      <c r="M94" s="454">
        <f>VRE!Q145</f>
        <v>-17315.008358830717</v>
      </c>
      <c r="N94" s="454">
        <f>VRE!R145</f>
        <v>-18090.275851705876</v>
      </c>
      <c r="O94" s="454">
        <f>VRE!S145</f>
        <v>-18881.048694438537</v>
      </c>
      <c r="P94" s="454">
        <f>VRE!T145</f>
        <v>-19687.636994025866</v>
      </c>
      <c r="Q94" s="454">
        <f>VRE!U145</f>
        <v>-20510.357059604932</v>
      </c>
      <c r="R94" s="454">
        <f>VRE!V145</f>
        <v>-21349.531526495575</v>
      </c>
      <c r="S94" s="454">
        <f>VRE!W145</f>
        <v>-22205.489482724042</v>
      </c>
      <c r="T94" s="454">
        <f>VRE!X145</f>
        <v>-23078.566598077072</v>
      </c>
      <c r="U94" s="454">
        <f>VRE!Y145</f>
        <v>-23969.105255737166</v>
      </c>
      <c r="V94" s="454">
        <f>VRE!Z145</f>
        <v>-24877.454686550456</v>
      </c>
      <c r="W94" s="454">
        <f>VRE!AA145</f>
        <v>-25803.97110598001</v>
      </c>
      <c r="X94" s="454">
        <f>VRE!AB145</f>
        <v>-26749.017853798166</v>
      </c>
      <c r="Y94" s="454">
        <f>VRE!AC145</f>
        <v>-27712.965536572683</v>
      </c>
    </row>
    <row r="95" spans="1:25" ht="14.25" customHeight="1">
      <c r="A95" s="541"/>
      <c r="B95" s="454">
        <f>VRE!F154</f>
        <v>0</v>
      </c>
      <c r="C95" s="454">
        <f>VRE!G154</f>
        <v>0</v>
      </c>
      <c r="D95" s="454">
        <f>VRE!H154</f>
        <v>41691.771319538959</v>
      </c>
      <c r="E95" s="454">
        <f>VRE!I154</f>
        <v>45170.164384604352</v>
      </c>
      <c r="F95" s="454">
        <f>VRE!J154</f>
        <v>48611.033922965435</v>
      </c>
      <c r="G95" s="454">
        <f>VRE!K154</f>
        <v>52013.744234646714</v>
      </c>
      <c r="H95" s="454">
        <f>VRE!L154</f>
        <v>55377.001512229079</v>
      </c>
      <c r="I95" s="454">
        <f>VRE!M154</f>
        <v>58699.926596606398</v>
      </c>
      <c r="J95" s="454">
        <f>VRE!N154</f>
        <v>62176.116144940112</v>
      </c>
      <c r="K95" s="454">
        <f>VRE!O154</f>
        <v>65628.283401300287</v>
      </c>
      <c r="L95" s="454">
        <f>VRE!P154</f>
        <v>69826.42399525056</v>
      </c>
      <c r="M95" s="454">
        <f>VRE!Q154</f>
        <v>74091.616103913679</v>
      </c>
      <c r="N95" s="454">
        <f>VRE!R154</f>
        <v>78431.224458394747</v>
      </c>
      <c r="O95" s="454">
        <f>VRE!S154</f>
        <v>82839.978243118487</v>
      </c>
      <c r="P95" s="454">
        <f>VRE!T154</f>
        <v>87325.871390942164</v>
      </c>
      <c r="Q95" s="454">
        <f>VRE!U154</f>
        <v>91883.08805639825</v>
      </c>
      <c r="R95" s="454">
        <f>VRE!V154</f>
        <v>96520.242035604519</v>
      </c>
      <c r="S95" s="454">
        <f>VRE!W154</f>
        <v>101230.98487335115</v>
      </c>
      <c r="T95" s="454">
        <f>VRE!X154</f>
        <v>106020.37223392332</v>
      </c>
      <c r="U95" s="454">
        <f>VRE!Y154</f>
        <v>110894.46533475275</v>
      </c>
      <c r="V95" s="454">
        <f>VRE!Z154</f>
        <v>116166.46442930495</v>
      </c>
      <c r="W95" s="454">
        <f>VRE!AA154</f>
        <v>121555.90441904179</v>
      </c>
      <c r="X95" s="454">
        <f>VRE!AB154</f>
        <v>127055.95750373419</v>
      </c>
      <c r="Y95" s="454">
        <f>VRE!AC154</f>
        <v>132678.69466554499</v>
      </c>
    </row>
    <row r="97" spans="1:26">
      <c r="A97" s="3" t="s">
        <v>593</v>
      </c>
      <c r="B97" s="454">
        <f t="shared" ref="B97:Y97" si="2">B92+B94+B82+B84+B86+B88+B90</f>
        <v>-4520455.0433313698</v>
      </c>
      <c r="C97" s="454">
        <f t="shared" si="2"/>
        <v>-14437368.154971875</v>
      </c>
      <c r="D97" s="454">
        <f t="shared" si="2"/>
        <v>-7269501.7790356874</v>
      </c>
      <c r="E97" s="454">
        <f t="shared" si="2"/>
        <v>-8093356.3538768627</v>
      </c>
      <c r="F97" s="454">
        <f t="shared" si="2"/>
        <v>-3057713.6172415996</v>
      </c>
      <c r="G97" s="454">
        <f t="shared" si="2"/>
        <v>-1439162.3673480051</v>
      </c>
      <c r="H97" s="454">
        <f t="shared" si="2"/>
        <v>-1457046.2161699121</v>
      </c>
      <c r="I97" s="454">
        <f t="shared" si="2"/>
        <v>-1436990.8711014295</v>
      </c>
      <c r="J97" s="454">
        <f t="shared" si="2"/>
        <v>-1495956.2717037373</v>
      </c>
      <c r="K97" s="454">
        <f t="shared" si="2"/>
        <v>-1517148.9374566465</v>
      </c>
      <c r="L97" s="454">
        <f t="shared" si="2"/>
        <v>-1539271.9729996487</v>
      </c>
      <c r="M97" s="454">
        <f t="shared" si="2"/>
        <v>-1562439.4226709481</v>
      </c>
      <c r="N97" s="454">
        <f t="shared" si="2"/>
        <v>-1586780.7827060323</v>
      </c>
      <c r="O97" s="454">
        <f t="shared" si="2"/>
        <v>-1612443.1132222263</v>
      </c>
      <c r="P97" s="454">
        <f t="shared" si="2"/>
        <v>-1639593.4390975537</v>
      </c>
      <c r="Q97" s="454">
        <f t="shared" si="2"/>
        <v>-1668421.479264267</v>
      </c>
      <c r="R97" s="454">
        <f t="shared" si="2"/>
        <v>-1699142.7493437671</v>
      </c>
      <c r="S97" s="454">
        <f t="shared" si="2"/>
        <v>-1732002.088695623</v>
      </c>
      <c r="T97" s="454">
        <f t="shared" si="2"/>
        <v>-1768250.138019545</v>
      </c>
      <c r="U97" s="454">
        <f t="shared" si="2"/>
        <v>-1807128.3774256578</v>
      </c>
      <c r="V97" s="454">
        <f t="shared" si="2"/>
        <v>-1849098.0592459238</v>
      </c>
      <c r="W97" s="454">
        <f t="shared" si="2"/>
        <v>-1894567.2831925082</v>
      </c>
      <c r="X97" s="454">
        <f t="shared" si="2"/>
        <v>-1943999.8081191152</v>
      </c>
      <c r="Y97" s="454">
        <f t="shared" si="2"/>
        <v>-21250145.843590222</v>
      </c>
      <c r="Z97" s="468">
        <f>SUM(B97:Y97)</f>
        <v>-88277984.169830158</v>
      </c>
    </row>
    <row r="98" spans="1:26">
      <c r="A98" s="3" t="s">
        <v>594</v>
      </c>
      <c r="B98" s="454">
        <f t="shared" ref="B98:Y98" si="3">B93+B95+B83+B85+B87+B89+B91</f>
        <v>0</v>
      </c>
      <c r="C98" s="454">
        <f t="shared" si="3"/>
        <v>2225689.3382305419</v>
      </c>
      <c r="D98" s="454">
        <f t="shared" si="3"/>
        <v>4893264.0470036371</v>
      </c>
      <c r="E98" s="454">
        <f t="shared" si="3"/>
        <v>4922138.6547335377</v>
      </c>
      <c r="F98" s="454">
        <f t="shared" si="3"/>
        <v>6390704.2732962063</v>
      </c>
      <c r="G98" s="454">
        <f t="shared" si="3"/>
        <v>6806872.6312397802</v>
      </c>
      <c r="H98" s="454">
        <f t="shared" si="3"/>
        <v>6864683.3466011304</v>
      </c>
      <c r="I98" s="454">
        <f t="shared" si="3"/>
        <v>6067639.5032378323</v>
      </c>
      <c r="J98" s="454">
        <f t="shared" si="3"/>
        <v>6983750.6576387184</v>
      </c>
      <c r="K98" s="454">
        <f t="shared" si="3"/>
        <v>7047545.6489800522</v>
      </c>
      <c r="L98" s="454">
        <f t="shared" si="3"/>
        <v>7126720.1616727291</v>
      </c>
      <c r="M98" s="454">
        <f t="shared" si="3"/>
        <v>7206442.2423653649</v>
      </c>
      <c r="N98" s="454">
        <f t="shared" si="3"/>
        <v>7286869.5234170137</v>
      </c>
      <c r="O98" s="454">
        <f t="shared" si="3"/>
        <v>7367946.1781907659</v>
      </c>
      <c r="P98" s="454">
        <f t="shared" si="3"/>
        <v>7449842.8566094134</v>
      </c>
      <c r="Q98" s="454">
        <f t="shared" si="3"/>
        <v>7532518.6141850818</v>
      </c>
      <c r="R98" s="454">
        <f t="shared" si="3"/>
        <v>7616160.8297370235</v>
      </c>
      <c r="S98" s="454">
        <f t="shared" si="3"/>
        <v>7700850.5812150706</v>
      </c>
      <c r="T98" s="454">
        <f t="shared" si="3"/>
        <v>7798103.0027318085</v>
      </c>
      <c r="U98" s="454">
        <f t="shared" si="3"/>
        <v>7888825.0993668353</v>
      </c>
      <c r="V98" s="454">
        <f t="shared" si="3"/>
        <v>7984690.0826926753</v>
      </c>
      <c r="W98" s="454">
        <f t="shared" si="3"/>
        <v>8082223.7419666788</v>
      </c>
      <c r="X98" s="454">
        <f t="shared" si="3"/>
        <v>8181482.0297530862</v>
      </c>
      <c r="Y98" s="454">
        <f t="shared" si="3"/>
        <v>66387148.050561354</v>
      </c>
      <c r="Z98" s="468">
        <f>SUM(B98:Y98)</f>
        <v>217812111.09542632</v>
      </c>
    </row>
    <row r="99" spans="1:26">
      <c r="A99" s="464" t="s">
        <v>595</v>
      </c>
      <c r="B99" s="454">
        <f>B97+B98</f>
        <v>-4520455.0433313698</v>
      </c>
      <c r="C99" s="454">
        <f t="shared" ref="C99:Y99" si="4">C97+C98</f>
        <v>-12211678.816741332</v>
      </c>
      <c r="D99" s="454">
        <f>D97+D98</f>
        <v>-2376237.7320320504</v>
      </c>
      <c r="E99" s="454">
        <f t="shared" si="4"/>
        <v>-3171217.699143325</v>
      </c>
      <c r="F99" s="454">
        <f t="shared" si="4"/>
        <v>3332990.6560546067</v>
      </c>
      <c r="G99" s="454">
        <f t="shared" si="4"/>
        <v>5367710.2638917752</v>
      </c>
      <c r="H99" s="454">
        <f t="shared" si="4"/>
        <v>5407637.1304312181</v>
      </c>
      <c r="I99" s="454">
        <f t="shared" si="4"/>
        <v>4630648.6321364027</v>
      </c>
      <c r="J99" s="454">
        <f t="shared" si="4"/>
        <v>5487794.3859349806</v>
      </c>
      <c r="K99" s="454">
        <f t="shared" si="4"/>
        <v>5530396.7115234062</v>
      </c>
      <c r="L99" s="454">
        <f t="shared" si="4"/>
        <v>5587448.1886730809</v>
      </c>
      <c r="M99" s="454">
        <f t="shared" si="4"/>
        <v>5644002.8196944166</v>
      </c>
      <c r="N99" s="454">
        <f t="shared" si="4"/>
        <v>5700088.7407109812</v>
      </c>
      <c r="O99" s="454">
        <f t="shared" si="4"/>
        <v>5755503.0649685394</v>
      </c>
      <c r="P99" s="454">
        <f t="shared" si="4"/>
        <v>5810249.4175118599</v>
      </c>
      <c r="Q99" s="454">
        <f t="shared" si="4"/>
        <v>5864097.134920815</v>
      </c>
      <c r="R99" s="454">
        <f t="shared" si="4"/>
        <v>5917018.0803932566</v>
      </c>
      <c r="S99" s="454">
        <f t="shared" si="4"/>
        <v>5968848.4925194476</v>
      </c>
      <c r="T99" s="454">
        <f t="shared" si="4"/>
        <v>6029852.8647122635</v>
      </c>
      <c r="U99" s="454">
        <f t="shared" si="4"/>
        <v>6081696.7219411777</v>
      </c>
      <c r="V99" s="454">
        <f t="shared" si="4"/>
        <v>6135592.0234467518</v>
      </c>
      <c r="W99" s="454">
        <f t="shared" si="4"/>
        <v>6187656.4587741708</v>
      </c>
      <c r="X99" s="454">
        <f t="shared" si="4"/>
        <v>6237482.2216339707</v>
      </c>
      <c r="Y99" s="454">
        <f t="shared" si="4"/>
        <v>45137002.206971131</v>
      </c>
      <c r="Z99" s="468">
        <f>Z97+Z98</f>
        <v>129534126.92559616</v>
      </c>
    </row>
    <row r="100" spans="1:26">
      <c r="A100" s="464"/>
      <c r="B100" s="454"/>
      <c r="C100" s="454"/>
      <c r="D100" s="454"/>
      <c r="E100" s="454"/>
      <c r="F100" s="454"/>
      <c r="G100" s="454"/>
      <c r="H100" s="454"/>
      <c r="I100" s="454"/>
      <c r="J100" s="454"/>
      <c r="K100" s="454"/>
      <c r="L100" s="454"/>
      <c r="M100" s="454"/>
      <c r="N100" s="454"/>
      <c r="O100" s="454"/>
      <c r="P100" s="454"/>
      <c r="Q100" s="454"/>
      <c r="R100" s="454"/>
      <c r="S100" s="454"/>
      <c r="T100" s="454"/>
      <c r="U100" s="454"/>
      <c r="V100" s="454"/>
      <c r="W100" s="454"/>
      <c r="X100" s="454"/>
      <c r="Y100" s="454"/>
      <c r="Z100" s="468"/>
    </row>
    <row r="101" spans="1:26">
      <c r="A101" s="3" t="s">
        <v>580</v>
      </c>
      <c r="B101" s="467">
        <f>1/1.03</f>
        <v>0.970873786407767</v>
      </c>
      <c r="C101" s="467">
        <f>B101/1.03</f>
        <v>0.94259590913375435</v>
      </c>
      <c r="D101" s="467">
        <f t="shared" ref="D101:Y101" si="5">C101/1.03</f>
        <v>0.9151416593531595</v>
      </c>
      <c r="E101" s="467">
        <f t="shared" si="5"/>
        <v>0.88848704791568878</v>
      </c>
      <c r="F101" s="467">
        <f t="shared" si="5"/>
        <v>0.86260878438416388</v>
      </c>
      <c r="G101" s="467">
        <f t="shared" si="5"/>
        <v>0.83748425668365423</v>
      </c>
      <c r="H101" s="467">
        <f t="shared" si="5"/>
        <v>0.81309151134335356</v>
      </c>
      <c r="I101" s="467">
        <f t="shared" si="5"/>
        <v>0.7894092343139355</v>
      </c>
      <c r="J101" s="467">
        <f t="shared" si="5"/>
        <v>0.76641673234362673</v>
      </c>
      <c r="K101" s="467">
        <f t="shared" si="5"/>
        <v>0.74409391489672494</v>
      </c>
      <c r="L101" s="467">
        <f t="shared" si="5"/>
        <v>0.7224212765987621</v>
      </c>
      <c r="M101" s="467">
        <f t="shared" si="5"/>
        <v>0.70137988019297293</v>
      </c>
      <c r="N101" s="467">
        <f t="shared" si="5"/>
        <v>0.68095133999317758</v>
      </c>
      <c r="O101" s="467">
        <f t="shared" si="5"/>
        <v>0.66111780581861901</v>
      </c>
      <c r="P101" s="467">
        <f t="shared" si="5"/>
        <v>0.64186194739671742</v>
      </c>
      <c r="Q101" s="467">
        <f t="shared" si="5"/>
        <v>0.62316693922011401</v>
      </c>
      <c r="R101" s="467">
        <f t="shared" si="5"/>
        <v>0.60501644584477088</v>
      </c>
      <c r="S101" s="467">
        <f t="shared" si="5"/>
        <v>0.58739460761628237</v>
      </c>
      <c r="T101" s="467">
        <f t="shared" si="5"/>
        <v>0.57028602681192464</v>
      </c>
      <c r="U101" s="467">
        <f t="shared" si="5"/>
        <v>0.55367575418633463</v>
      </c>
      <c r="V101" s="467">
        <f t="shared" si="5"/>
        <v>0.53754927590906276</v>
      </c>
      <c r="W101" s="467">
        <f t="shared" si="5"/>
        <v>0.52189250088258521</v>
      </c>
      <c r="X101" s="467">
        <f t="shared" si="5"/>
        <v>0.50669174842969433</v>
      </c>
      <c r="Y101" s="467">
        <f t="shared" si="5"/>
        <v>0.49193373633950904</v>
      </c>
    </row>
    <row r="102" spans="1:26">
      <c r="A102" s="3"/>
      <c r="B102" s="454">
        <f t="shared" ref="B102:Y102" si="6">B99*B101</f>
        <v>-4388791.3042052137</v>
      </c>
      <c r="C102" s="454">
        <f t="shared" si="6"/>
        <v>-11510678.496315707</v>
      </c>
      <c r="D102" s="454">
        <f t="shared" si="6"/>
        <v>-2174594.141109399</v>
      </c>
      <c r="E102" s="454">
        <f t="shared" si="6"/>
        <v>-2817585.8518098355</v>
      </c>
      <c r="F102" s="454">
        <f t="shared" si="6"/>
        <v>2875067.0181830409</v>
      </c>
      <c r="G102" s="454">
        <f t="shared" si="6"/>
        <v>4495372.8404486245</v>
      </c>
      <c r="H102" s="454">
        <f t="shared" si="6"/>
        <v>4396903.8471787544</v>
      </c>
      <c r="I102" s="454">
        <f t="shared" si="6"/>
        <v>3655476.7910716706</v>
      </c>
      <c r="J102" s="454">
        <f t="shared" si="6"/>
        <v>4205937.4410419874</v>
      </c>
      <c r="K102" s="454">
        <f t="shared" si="6"/>
        <v>4115134.540009425</v>
      </c>
      <c r="L102" s="454">
        <f t="shared" si="6"/>
        <v>4036491.4533906481</v>
      </c>
      <c r="M102" s="454">
        <f t="shared" si="6"/>
        <v>3958590.0214860714</v>
      </c>
      <c r="N102" s="454">
        <f t="shared" si="6"/>
        <v>3881483.0660671666</v>
      </c>
      <c r="O102" s="454">
        <f t="shared" si="6"/>
        <v>3805065.5576943373</v>
      </c>
      <c r="P102" s="454">
        <f t="shared" si="6"/>
        <v>3729378.0059848055</v>
      </c>
      <c r="Q102" s="454">
        <f t="shared" si="6"/>
        <v>3654311.4628580441</v>
      </c>
      <c r="R102" s="454">
        <f t="shared" si="6"/>
        <v>3579893.248998777</v>
      </c>
      <c r="S102" s="454">
        <f t="shared" si="6"/>
        <v>3506069.4181844993</v>
      </c>
      <c r="T102" s="454">
        <f t="shared" si="6"/>
        <v>3438740.8324772585</v>
      </c>
      <c r="U102" s="454">
        <f t="shared" si="6"/>
        <v>3367288.0192533405</v>
      </c>
      <c r="V102" s="454">
        <f t="shared" si="6"/>
        <v>3298183.0494772228</v>
      </c>
      <c r="W102" s="454">
        <f t="shared" si="6"/>
        <v>3229291.5038719331</v>
      </c>
      <c r="X102" s="454">
        <f t="shared" si="6"/>
        <v>3160480.7726788507</v>
      </c>
      <c r="Y102" s="454">
        <f t="shared" si="6"/>
        <v>22204414.142839976</v>
      </c>
    </row>
    <row r="103" spans="1:26">
      <c r="A103" s="3"/>
    </row>
    <row r="104" spans="1:26">
      <c r="A104" s="3" t="s">
        <v>597</v>
      </c>
      <c r="B104" s="467">
        <f>1/1.07</f>
        <v>0.93457943925233644</v>
      </c>
      <c r="C104" s="467">
        <f>B104/1.07</f>
        <v>0.87343872827321156</v>
      </c>
      <c r="D104" s="467">
        <f t="shared" ref="D104:Y104" si="7">C104/1.07</f>
        <v>0.81629787689085187</v>
      </c>
      <c r="E104" s="467">
        <f t="shared" si="7"/>
        <v>0.76289521204752508</v>
      </c>
      <c r="F104" s="467">
        <f t="shared" si="7"/>
        <v>0.71298617948366827</v>
      </c>
      <c r="G104" s="467">
        <f t="shared" si="7"/>
        <v>0.66634222381651231</v>
      </c>
      <c r="H104" s="467">
        <f t="shared" si="7"/>
        <v>0.62274974188459087</v>
      </c>
      <c r="I104" s="467">
        <f t="shared" si="7"/>
        <v>0.58200910456503818</v>
      </c>
      <c r="J104" s="467">
        <f t="shared" si="7"/>
        <v>0.54393374258414784</v>
      </c>
      <c r="K104" s="467">
        <f t="shared" si="7"/>
        <v>0.50834929213471758</v>
      </c>
      <c r="L104" s="467">
        <f t="shared" si="7"/>
        <v>0.4750927963875865</v>
      </c>
      <c r="M104" s="467">
        <f t="shared" si="7"/>
        <v>0.444011959240735</v>
      </c>
      <c r="N104" s="467">
        <f t="shared" si="7"/>
        <v>0.41496444788853737</v>
      </c>
      <c r="O104" s="467">
        <f t="shared" si="7"/>
        <v>0.38781724101732462</v>
      </c>
      <c r="P104" s="467">
        <f t="shared" si="7"/>
        <v>0.36244601964235945</v>
      </c>
      <c r="Q104" s="467">
        <f t="shared" si="7"/>
        <v>0.33873459779659759</v>
      </c>
      <c r="R104" s="467">
        <f t="shared" si="7"/>
        <v>0.3165743904641099</v>
      </c>
      <c r="S104" s="467">
        <f t="shared" si="7"/>
        <v>0.29586391632159803</v>
      </c>
      <c r="T104" s="467">
        <f t="shared" si="7"/>
        <v>0.27650833301083927</v>
      </c>
      <c r="U104" s="467">
        <f t="shared" si="7"/>
        <v>0.25841900281386848</v>
      </c>
      <c r="V104" s="467">
        <f t="shared" si="7"/>
        <v>0.24151308674193314</v>
      </c>
      <c r="W104" s="467">
        <f t="shared" si="7"/>
        <v>0.22571316517937676</v>
      </c>
      <c r="X104" s="467">
        <f t="shared" si="7"/>
        <v>0.21094688334521192</v>
      </c>
      <c r="Y104" s="467">
        <f t="shared" si="7"/>
        <v>0.19714661994879618</v>
      </c>
    </row>
    <row r="105" spans="1:26">
      <c r="A105" s="3"/>
      <c r="B105" s="454">
        <f t="shared" ref="B105:Y105" si="8">B99*B104</f>
        <v>-4224724.3395620277</v>
      </c>
      <c r="C105" s="454">
        <f t="shared" si="8"/>
        <v>-10666153.215775466</v>
      </c>
      <c r="D105" s="454">
        <f t="shared" si="8"/>
        <v>-1939717.8156456957</v>
      </c>
      <c r="E105" s="454">
        <f t="shared" si="8"/>
        <v>-2419306.7990368116</v>
      </c>
      <c r="F105" s="454">
        <f t="shared" si="8"/>
        <v>2376376.2741151392</v>
      </c>
      <c r="G105" s="454">
        <f t="shared" si="8"/>
        <v>3576731.9940443635</v>
      </c>
      <c r="H105" s="454">
        <f t="shared" si="8"/>
        <v>3367604.6271815705</v>
      </c>
      <c r="I105" s="454">
        <f t="shared" si="8"/>
        <v>2695079.6639450267</v>
      </c>
      <c r="J105" s="454">
        <f t="shared" si="8"/>
        <v>2984996.5388738895</v>
      </c>
      <c r="K105" s="454">
        <f t="shared" si="8"/>
        <v>2811373.2535270932</v>
      </c>
      <c r="L105" s="454">
        <f t="shared" si="8"/>
        <v>2654556.3846274489</v>
      </c>
      <c r="M105" s="454">
        <f t="shared" si="8"/>
        <v>2506004.7499327506</v>
      </c>
      <c r="N105" s="454">
        <f t="shared" si="8"/>
        <v>2365334.1772048008</v>
      </c>
      <c r="O105" s="454">
        <f t="shared" si="8"/>
        <v>2232083.3193228547</v>
      </c>
      <c r="P105" s="454">
        <f t="shared" si="8"/>
        <v>2105901.7745065112</v>
      </c>
      <c r="Q105" s="454">
        <f t="shared" si="8"/>
        <v>1986372.5844375826</v>
      </c>
      <c r="R105" s="454">
        <f t="shared" si="8"/>
        <v>1873176.3921656129</v>
      </c>
      <c r="S105" s="454">
        <f t="shared" si="8"/>
        <v>1765966.8909270703</v>
      </c>
      <c r="T105" s="454">
        <f t="shared" si="8"/>
        <v>1667304.5639222218</v>
      </c>
      <c r="U105" s="454">
        <f t="shared" si="8"/>
        <v>1571626.0023004119</v>
      </c>
      <c r="V105" s="454">
        <f t="shared" si="8"/>
        <v>1481825.7685718085</v>
      </c>
      <c r="W105" s="454">
        <f t="shared" si="8"/>
        <v>1396635.5243525319</v>
      </c>
      <c r="X105" s="454">
        <f t="shared" si="8"/>
        <v>1315777.4345748546</v>
      </c>
      <c r="Y105" s="454">
        <f t="shared" si="8"/>
        <v>8898607.4197257124</v>
      </c>
    </row>
    <row r="108" spans="1:26">
      <c r="A108" s="36"/>
    </row>
    <row r="109" spans="1:26">
      <c r="A109" s="3"/>
      <c r="B109" s="463"/>
    </row>
    <row r="110" spans="1:26">
      <c r="B110" s="452">
        <v>2013</v>
      </c>
      <c r="C110" s="452">
        <v>2014</v>
      </c>
      <c r="D110" s="452">
        <v>2015</v>
      </c>
      <c r="E110" s="452">
        <v>2016</v>
      </c>
      <c r="F110" s="452">
        <v>2017</v>
      </c>
      <c r="G110" s="452">
        <v>2018</v>
      </c>
      <c r="H110" s="452">
        <v>2019</v>
      </c>
      <c r="I110" s="452">
        <v>2020</v>
      </c>
      <c r="J110" s="452">
        <v>2021</v>
      </c>
      <c r="K110" s="452">
        <v>2022</v>
      </c>
      <c r="L110" s="452">
        <v>2023</v>
      </c>
      <c r="M110" s="452">
        <v>2024</v>
      </c>
      <c r="N110" s="452">
        <v>2025</v>
      </c>
      <c r="O110" s="452">
        <v>2026</v>
      </c>
      <c r="P110" s="452">
        <v>2027</v>
      </c>
      <c r="Q110" s="452">
        <v>2028</v>
      </c>
      <c r="R110" s="452">
        <v>2029</v>
      </c>
      <c r="S110" s="452">
        <v>2030</v>
      </c>
      <c r="T110" s="452">
        <v>2031</v>
      </c>
      <c r="U110" s="452">
        <v>2032</v>
      </c>
      <c r="V110" s="452">
        <v>2033</v>
      </c>
      <c r="W110" s="452">
        <v>2034</v>
      </c>
      <c r="X110" s="452">
        <v>2035</v>
      </c>
      <c r="Y110" s="452">
        <v>2036</v>
      </c>
    </row>
    <row r="111" spans="1:26" ht="32.25" customHeight="1">
      <c r="A111" s="544" t="s">
        <v>649</v>
      </c>
      <c r="B111" s="453" t="s">
        <v>19</v>
      </c>
      <c r="C111" s="453" t="s">
        <v>20</v>
      </c>
      <c r="D111" s="453" t="s">
        <v>21</v>
      </c>
      <c r="E111" s="453" t="s">
        <v>22</v>
      </c>
      <c r="F111" s="453" t="s">
        <v>23</v>
      </c>
      <c r="G111" s="453" t="s">
        <v>24</v>
      </c>
      <c r="H111" s="453" t="s">
        <v>25</v>
      </c>
      <c r="I111" s="453" t="s">
        <v>26</v>
      </c>
      <c r="J111" s="453" t="s">
        <v>27</v>
      </c>
      <c r="K111" s="453" t="s">
        <v>28</v>
      </c>
      <c r="L111" s="453" t="s">
        <v>29</v>
      </c>
      <c r="M111" s="453" t="s">
        <v>30</v>
      </c>
      <c r="N111" s="453" t="s">
        <v>31</v>
      </c>
      <c r="O111" s="453" t="s">
        <v>32</v>
      </c>
      <c r="P111" s="453" t="s">
        <v>33</v>
      </c>
      <c r="Q111" s="453" t="s">
        <v>34</v>
      </c>
      <c r="R111" s="453" t="s">
        <v>35</v>
      </c>
      <c r="S111" s="453" t="s">
        <v>36</v>
      </c>
      <c r="T111" s="453" t="s">
        <v>123</v>
      </c>
      <c r="U111" s="453" t="s">
        <v>242</v>
      </c>
      <c r="V111" s="453" t="s">
        <v>243</v>
      </c>
      <c r="W111" s="453" t="s">
        <v>244</v>
      </c>
      <c r="X111" s="453" t="s">
        <v>245</v>
      </c>
      <c r="Y111" s="453" t="s">
        <v>648</v>
      </c>
    </row>
    <row r="112" spans="1:26" s="26" customFormat="1" ht="14.25" customHeight="1">
      <c r="A112" s="473" t="s">
        <v>351</v>
      </c>
      <c r="B112" s="482">
        <f>FT!F10+FT!F11+FT!F12+'Forest Glen'!F10+'Forest Glen'!F11+'Forest Glen'!F12+NC!F10+NC!F11+NC!F12+Rosslyn!F10+Rosslyn!F11+Rosslyn!F12+WH!F10+WH!F11+WH!F12+'A-N Drive'!F10+'A-N Drive'!F11+'A-N Drive'!F12</f>
        <v>0</v>
      </c>
      <c r="C112" s="482">
        <f>FT!G10+FT!G11+FT!G12+'Forest Glen'!G10+'Forest Glen'!G11+'Forest Glen'!G12+NC!G10+NC!G11+NC!G12+Rosslyn!G10+Rosslyn!G11+Rosslyn!G12+WH!G10+WH!G11+WH!G12+'A-N Drive'!G10+'A-N Drive'!G11+'A-N Drive'!G12</f>
        <v>1272956.1520923066</v>
      </c>
      <c r="D112" s="482">
        <f>FT!H10+FT!H11+FT!H12+'Forest Glen'!H10+'Forest Glen'!H11+'Forest Glen'!H12+NC!H10+NC!H11+NC!H12+Rosslyn!H10+Rosslyn!H11+Rosslyn!H12+WH!H10+WH!H11+WH!H12+'A-N Drive'!H10+'A-N Drive'!H11+'A-N Drive'!H12</f>
        <v>6270867.7640684275</v>
      </c>
      <c r="E112" s="482">
        <f>FT!I10+FT!I11+FT!I12+'Forest Glen'!I10+'Forest Glen'!I11+'Forest Glen'!I12+NC!I10+NC!I11+NC!I12+Rosslyn!I10+Rosslyn!I11+Rosslyn!I12+WH!I10+WH!I11+WH!I12+'A-N Drive'!I10+'A-N Drive'!I11+'A-N Drive'!I12</f>
        <v>6278233.999001977</v>
      </c>
      <c r="F112" s="482">
        <f>FT!J10+FT!J11+FT!J12+'Forest Glen'!J10+'Forest Glen'!J11+'Forest Glen'!J12+NC!J10+NC!J11+NC!J12+Rosslyn!J10+Rosslyn!J11+Rosslyn!J12+WH!J10+WH!J11+WH!J12+'A-N Drive'!J10+'A-N Drive'!J11+'A-N Drive'!J12</f>
        <v>6504093.1911489852</v>
      </c>
      <c r="G112" s="482">
        <f>FT!K10+FT!K11+FT!K12+'Forest Glen'!K10+'Forest Glen'!K11+'Forest Glen'!K12+NC!K10+NC!K11+NC!K12+Rosslyn!K10+Rosslyn!K11+Rosslyn!K12+WH!K10+WH!K11+WH!K12+'A-N Drive'!K10+'A-N Drive'!K11+'A-N Drive'!K12</f>
        <v>6594107.8975581704</v>
      </c>
      <c r="H112" s="482">
        <f>FT!L10+FT!L11+FT!L12+'Forest Glen'!L10+'Forest Glen'!L11+'Forest Glen'!L12+NC!L10+NC!L11+NC!L12+Rosslyn!L10+Rosslyn!L11+Rosslyn!L12+WH!L10+WH!L11+WH!L12+'A-N Drive'!L10+'A-N Drive'!L11+'A-N Drive'!L12</f>
        <v>6611291.6182295382</v>
      </c>
      <c r="I112" s="482">
        <f>FT!M10+FT!M11+FT!M12+'Forest Glen'!M10+'Forest Glen'!M11+'Forest Glen'!M12+NC!M10+NC!M11+NC!M12+Rosslyn!M10+Rosslyn!M11+Rosslyn!M12+WH!M10+WH!M11+WH!M12+'A-N Drive'!M10+'A-N Drive'!M11+'A-N Drive'!M12</f>
        <v>6317516.4244739898</v>
      </c>
      <c r="J112" s="482">
        <f>FT!N10+FT!N11+FT!N12+'Forest Glen'!N10+'Forest Glen'!N11+'Forest Glen'!N12+NC!N10+NC!N11+NC!N12+Rosslyn!N10+Rosslyn!N11+Rosslyn!N12+WH!N10+WH!N11+WH!N12+'A-N Drive'!N10+'A-N Drive'!N11+'A-N Drive'!N12</f>
        <v>6712000.2676794156</v>
      </c>
      <c r="K112" s="482">
        <f>FT!O10+FT!O11+FT!O12+'Forest Glen'!O10+'Forest Glen'!O11+'Forest Glen'!O12+NC!O10+NC!O11+NC!O12+Rosslyn!O10+Rosslyn!O11+Rosslyn!O12+WH!O10+WH!O11+WH!O12+'A-N Drive'!O10+'A-N Drive'!O11+'A-N Drive'!O12</f>
        <v>6795525.1964579243</v>
      </c>
      <c r="L112" s="482">
        <f>FT!P10+FT!P11+FT!P12+'Forest Glen'!P10+'Forest Glen'!P11+'Forest Glen'!P12+NC!P10+NC!P11+NC!P12+Rosslyn!P10+Rosslyn!P11+Rosslyn!P12+WH!P10+WH!P11+WH!P12+'A-N Drive'!P10+'A-N Drive'!P11+'A-N Drive'!P12</f>
        <v>6879050.125236433</v>
      </c>
      <c r="M112" s="482">
        <f>FT!Q10+FT!Q11+FT!Q12+'Forest Glen'!Q10+'Forest Glen'!Q11+'Forest Glen'!Q12+NC!Q10+NC!Q11+NC!Q12+Rosslyn!Q10+Rosslyn!Q11+Rosslyn!Q12+WH!Q10+WH!Q11+WH!Q12+'A-N Drive'!Q10+'A-N Drive'!Q11+'A-N Drive'!Q12</f>
        <v>6962575.0540149417</v>
      </c>
      <c r="N112" s="482">
        <f>FT!R10+FT!R11+FT!R12+'Forest Glen'!R10+'Forest Glen'!R11+'Forest Glen'!R12+NC!R10+NC!R11+NC!R12+Rosslyn!R10+Rosslyn!R11+Rosslyn!R12+WH!R10+WH!R11+WH!R12+'A-N Drive'!R10+'A-N Drive'!R11+'A-N Drive'!R12</f>
        <v>7046099.9827934485</v>
      </c>
      <c r="O112" s="482">
        <f>FT!S10+FT!S11+FT!S12+'Forest Glen'!S10+'Forest Glen'!S11+'Forest Glen'!S12+NC!S10+NC!S11+NC!S12+Rosslyn!S10+Rosslyn!S11+Rosslyn!S12+WH!S10+WH!S11+WH!S12+'A-N Drive'!S10+'A-N Drive'!S11+'A-N Drive'!S12</f>
        <v>7129624.911571959</v>
      </c>
      <c r="P112" s="482">
        <f>FT!T10+FT!T11+FT!T12+'Forest Glen'!T10+'Forest Glen'!T11+'Forest Glen'!T12+NC!T10+NC!T11+NC!T12+Rosslyn!T10+Rosslyn!T11+Rosslyn!T12+WH!T10+WH!T11+WH!T12+'A-N Drive'!T10+'A-N Drive'!T11+'A-N Drive'!T12</f>
        <v>7213149.8403504668</v>
      </c>
      <c r="Q112" s="482">
        <f>FT!U10+FT!U11+FT!U12+'Forest Glen'!U10+'Forest Glen'!U11+'Forest Glen'!U12+NC!U10+NC!U11+NC!U12+Rosslyn!U10+Rosslyn!U11+Rosslyn!U12+WH!U10+WH!U11+WH!U12+'A-N Drive'!U10+'A-N Drive'!U11+'A-N Drive'!U12</f>
        <v>7296674.7691289764</v>
      </c>
      <c r="R112" s="482">
        <f>FT!V10+FT!V11+FT!V12+'Forest Glen'!V10+'Forest Glen'!V11+'Forest Glen'!V12+NC!V10+NC!V11+NC!V12+Rosslyn!V10+Rosslyn!V11+Rosslyn!V12+WH!V10+WH!V11+WH!V12+'A-N Drive'!V10+'A-N Drive'!V11+'A-N Drive'!V12</f>
        <v>7380199.6979074841</v>
      </c>
      <c r="S112" s="482">
        <f>FT!W10+FT!W11+FT!W12+'Forest Glen'!W10+'Forest Glen'!W11+'Forest Glen'!W12+NC!W10+NC!W11+NC!W12+Rosslyn!W10+Rosslyn!W11+Rosslyn!W12+WH!W10+WH!W11+WH!W12+'A-N Drive'!W10+'A-N Drive'!W11+'A-N Drive'!W12</f>
        <v>7463724.6266859937</v>
      </c>
      <c r="T112" s="482">
        <f>FT!X10+FT!X11+FT!X12+'Forest Glen'!X10+'Forest Glen'!X11+'Forest Glen'!X12+NC!X10+NC!X11+NC!X12+Rosslyn!X10+Rosslyn!X11+Rosslyn!X12+WH!X10+WH!X11+WH!X12+'A-N Drive'!X10+'A-N Drive'!X11+'A-N Drive'!X12</f>
        <v>7558557.2785839941</v>
      </c>
      <c r="U112" s="482">
        <f>FT!Y10+FT!Y11+FT!Y12+'Forest Glen'!Y10+'Forest Glen'!Y11+'Forest Glen'!Y12+NC!Y10+NC!Y11+NC!Y12+Rosslyn!Y10+Rosslyn!Y11+Rosslyn!Y12+WH!Y10+WH!Y11+WH!Y12+'A-N Drive'!Y10+'A-N Drive'!Y11+'A-N Drive'!Y12</f>
        <v>7654891.8437720407</v>
      </c>
      <c r="V112" s="482">
        <f>FT!Z10+FT!Z11+FT!Z12+'Forest Glen'!Z10+'Forest Glen'!Z11+'Forest Glen'!Z12+NC!Z10+NC!Z11+NC!Z12+Rosslyn!Z10+Rosslyn!Z11+Rosslyn!Z12+WH!Z10+WH!Z11+WH!Z12+'A-N Drive'!Z10+'A-N Drive'!Z11+'A-N Drive'!Z12</f>
        <v>7751226.4089600854</v>
      </c>
      <c r="W112" s="482">
        <f>FT!AA10+FT!AA11+FT!AA12+'Forest Glen'!AA10+'Forest Glen'!AA11+'Forest Glen'!AA12+NC!AA10+NC!AA11+NC!AA12+Rosslyn!AA10+Rosslyn!AA11+Rosslyn!AA12+WH!AA10+WH!AA11+WH!AA12+'A-N Drive'!AA10+'A-N Drive'!AA11+'A-N Drive'!AA12</f>
        <v>7847560.97414813</v>
      </c>
      <c r="X112" s="482">
        <f>FT!AB10+FT!AB11+FT!AB12+'Forest Glen'!AB10+'Forest Glen'!AB11+'Forest Glen'!AB12+NC!AB10+NC!AB11+NC!AB12+Rosslyn!AB10+Rosslyn!AB11+Rosslyn!AB12+WH!AB10+WH!AB11+WH!AB12+'A-N Drive'!AB10+'A-N Drive'!AB11+'A-N Drive'!AB12</f>
        <v>7943895.5393361757</v>
      </c>
      <c r="Y112" s="482">
        <f>FT!AC10+FT!AC11+FT!AC12+'Forest Glen'!AC10+'Forest Glen'!AC11+'Forest Glen'!AC12+NC!AC10+NC!AC11+NC!AC12+Rosslyn!AC10+Rosslyn!AC11+Rosslyn!AC12+WH!AC10+WH!AC11+WH!AC12+'A-N Drive'!AC10+'A-N Drive'!AC11+'A-N Drive'!AC12</f>
        <v>8040230.1045242231</v>
      </c>
    </row>
    <row r="113" spans="1:26" s="26" customFormat="1" ht="14.25" customHeight="1">
      <c r="A113" s="473" t="s">
        <v>261</v>
      </c>
      <c r="B113" s="482">
        <f>FT!F15+FT!F16+FT!F17+'Forest Glen'!F15+'Forest Glen'!F16+'Forest Glen'!F17+NC!F15+NC!F16+NC!F17+Rosslyn!F15+Rosslyn!F16+Rosslyn!F17+WH!F15+WH!F16+WH!F17+'A-N Drive'!F15+'A-N Drive'!F16+'A-N Drive'!F17+VRE!F11+VRE!F12+VRE!F13</f>
        <v>0</v>
      </c>
      <c r="C113" s="482">
        <f>FT!G15+FT!G16+FT!G17+'Forest Glen'!G15+'Forest Glen'!G16+'Forest Glen'!G17+NC!G15+NC!G16+NC!G17+Rosslyn!G15+Rosslyn!G16+Rosslyn!G17+WH!G15+WH!G16+WH!G17+'A-N Drive'!G15+'A-N Drive'!G16+'A-N Drive'!G17+VRE!G11+VRE!G12+VRE!G13</f>
        <v>379966.75874645123</v>
      </c>
      <c r="D113" s="482">
        <f>FT!H15+FT!H16+FT!H17+'Forest Glen'!H15+'Forest Glen'!H16+'Forest Glen'!H17+NC!H15+NC!H16+NC!H17+Rosslyn!H15+Rosslyn!H16+Rosslyn!H17+WH!H15+WH!H16+WH!H17+'A-N Drive'!H15+'A-N Drive'!H16+'A-N Drive'!H17+VRE!H11+VRE!H12+VRE!H13</f>
        <v>836455.80042812182</v>
      </c>
      <c r="E113" s="482">
        <f>FT!I15+FT!I16+FT!I17+'Forest Glen'!I15+'Forest Glen'!I16+'Forest Glen'!I17+NC!I15+NC!I16+NC!I17+Rosslyn!I15+Rosslyn!I16+Rosslyn!I17+WH!I15+WH!I16+WH!I17+'A-N Drive'!I15+'A-N Drive'!I16+'A-N Drive'!I17+VRE!I11+VRE!I12+VRE!I13</f>
        <v>849118.28370636876</v>
      </c>
      <c r="F113" s="482">
        <f>FT!J15+FT!J16+FT!J17+'Forest Glen'!J15+'Forest Glen'!J16+'Forest Glen'!J17+NC!J15+NC!J16+NC!J17+Rosslyn!J15+Rosslyn!J16+Rosslyn!J17+WH!J15+WH!J16+WH!J17+'A-N Drive'!J15+'A-N Drive'!J16+'A-N Drive'!J17+VRE!J11+VRE!J12+VRE!J13</f>
        <v>866142.1141337665</v>
      </c>
      <c r="G113" s="482">
        <f>FT!K15+FT!K16+FT!K17+'Forest Glen'!K15+'Forest Glen'!K16+'Forest Glen'!K17+NC!K15+NC!K16+NC!K17+Rosslyn!K15+Rosslyn!K16+Rosslyn!K17+WH!K15+WH!K16+WH!K17+'A-N Drive'!K15+'A-N Drive'!K16+'A-N Drive'!K17+VRE!K11+VRE!K12+VRE!K13</f>
        <v>880645.76023891789</v>
      </c>
      <c r="H113" s="482">
        <f>FT!L15+FT!L16+FT!L17+'Forest Glen'!L15+'Forest Glen'!L16+'Forest Glen'!L17+NC!L15+NC!L16+NC!L17+Rosslyn!L15+Rosslyn!L16+Rosslyn!L17+WH!L15+WH!L16+WH!L17+'A-N Drive'!L15+'A-N Drive'!L16+'A-N Drive'!L17+VRE!L11+VRE!L12+VRE!L13</f>
        <v>893872.06892906793</v>
      </c>
      <c r="I113" s="482">
        <f>FT!M15+FT!M16+FT!M17+'Forest Glen'!M15+'Forest Glen'!M16+'Forest Glen'!M17+NC!M15+NC!M16+NC!M17+Rosslyn!M15+Rosslyn!M16+Rosslyn!M17+WH!M15+WH!M16+WH!M17+'A-N Drive'!M15+'A-N Drive'!M16+'A-N Drive'!M17+VRE!M11+VRE!M12+VRE!M13</f>
        <v>901205.38005515106</v>
      </c>
      <c r="J113" s="482">
        <f>FT!N15+FT!N16+FT!N17+'Forest Glen'!N15+'Forest Glen'!N16+'Forest Glen'!N17+NC!N15+NC!N16+NC!N17+Rosslyn!N15+Rosslyn!N16+Rosslyn!N17+WH!N15+WH!N16+WH!N17+'A-N Drive'!N15+'A-N Drive'!N16+'A-N Drive'!N17+VRE!N11+VRE!N12+VRE!N13</f>
        <v>924316.38762588566</v>
      </c>
      <c r="K113" s="482">
        <f>FT!O15+FT!O16+FT!O17+'Forest Glen'!O15+'Forest Glen'!O16+'Forest Glen'!O17+NC!O15+NC!O16+NC!O17+Rosslyn!O15+Rosslyn!O16+Rosslyn!O17+WH!O15+WH!O16+WH!O17+'A-N Drive'!O15+'A-N Drive'!O16+'A-N Drive'!O17+VRE!O11+VRE!O12+VRE!O13</f>
        <v>941579.88820067211</v>
      </c>
      <c r="L113" s="482">
        <f>FT!P15+FT!P16+FT!P17+'Forest Glen'!P15+'Forest Glen'!P16+'Forest Glen'!P17+NC!P15+NC!P16+NC!P17+Rosslyn!P15+Rosslyn!P16+Rosslyn!P17+WH!P15+WH!P16+WH!P17+'A-N Drive'!P15+'A-N Drive'!P16+'A-N Drive'!P17+VRE!P11+VRE!P12+VRE!P13</f>
        <v>959075.20113230892</v>
      </c>
      <c r="M113" s="482">
        <f>FT!Q15+FT!Q16+FT!Q17+'Forest Glen'!Q15+'Forest Glen'!Q16+'Forest Glen'!Q17+NC!Q15+NC!Q16+NC!Q17+Rosslyn!Q15+Rosslyn!Q16+Rosslyn!Q17+WH!Q15+WH!Q16+WH!Q17+'A-N Drive'!Q15+'A-N Drive'!Q16+'A-N Drive'!Q17+VRE!Q11+VRE!Q12+VRE!Q13</f>
        <v>976833.57797601621</v>
      </c>
      <c r="N113" s="482">
        <f>FT!R15+FT!R16+FT!R17+'Forest Glen'!R15+'Forest Glen'!R16+'Forest Glen'!R17+NC!R15+NC!R16+NC!R17+Rosslyn!R15+Rosslyn!R16+Rosslyn!R17+WH!R15+WH!R16+WH!R17+'A-N Drive'!R15+'A-N Drive'!R16+'A-N Drive'!R17+VRE!R11+VRE!R12+VRE!R13</f>
        <v>994890.53629226424</v>
      </c>
      <c r="O113" s="482">
        <f>FT!S15+FT!S16+FT!S17+'Forest Glen'!S15+'Forest Glen'!S16+'Forest Glen'!S17+NC!S15+NC!S16+NC!S17+Rosslyn!S15+Rosslyn!S16+Rosslyn!S17+WH!S15+WH!S16+WH!S17+'A-N Drive'!S15+'A-N Drive'!S16+'A-N Drive'!S17+VRE!S11+VRE!S12+VRE!S13</f>
        <v>1013286.443052142</v>
      </c>
      <c r="P113" s="482">
        <f>FT!T15+FT!T16+FT!T17+'Forest Glen'!T15+'Forest Glen'!T16+'Forest Glen'!T17+NC!T15+NC!T16+NC!T17+Rosslyn!T15+Rosslyn!T16+Rosslyn!T17+WH!T15+WH!T16+WH!T17+'A-N Drive'!T15+'A-N Drive'!T16+'A-N Drive'!T17+VRE!T11+VRE!T12+VRE!T13</f>
        <v>1032067.1778488957</v>
      </c>
      <c r="Q113" s="482">
        <f>FT!U15+FT!U16+FT!U17+'Forest Glen'!U15+'Forest Glen'!U16+'Forest Glen'!U17+NC!U15+NC!U16+NC!U17+Rosslyn!U15+Rosslyn!U16+Rosslyn!U17+WH!U15+WH!U16+WH!U17+'A-N Drive'!U15+'A-N Drive'!U16+'A-N Drive'!U17+VRE!U11+VRE!U12+VRE!U13</f>
        <v>1051284.8868330512</v>
      </c>
      <c r="R113" s="482">
        <f>FT!V15+FT!V16+FT!V17+'Forest Glen'!V15+'Forest Glen'!V16+'Forest Glen'!V17+NC!V15+NC!V16+NC!V17+Rosslyn!V15+Rosslyn!V16+Rosslyn!V17+WH!V15+WH!V16+WH!V17+'A-N Drive'!V15+'A-N Drive'!V16+'A-N Drive'!V17+VRE!V11+VRE!V12+VRE!V13</f>
        <v>1070998.8397820271</v>
      </c>
      <c r="S113" s="482">
        <f>FT!W15+FT!W16+FT!W17+'Forest Glen'!W15+'Forest Glen'!W16+'Forest Glen'!W17+NC!W15+NC!W16+NC!W17+Rosslyn!W15+Rosslyn!W16+Rosslyn!W17+WH!W15+WH!W16+WH!W17+'A-N Drive'!W15+'A-N Drive'!W16+'A-N Drive'!W17+VRE!W11+VRE!W12+VRE!W13</f>
        <v>1091276.4044129662</v>
      </c>
      <c r="T113" s="482">
        <f>FT!X15+FT!X16+FT!X17+'Forest Glen'!X15+'Forest Glen'!X16+'Forest Glen'!X17+NC!X15+NC!X16+NC!X17+Rosslyn!X15+Rosslyn!X16+Rosslyn!X17+WH!X15+WH!X16+WH!X17+'A-N Drive'!X15+'A-N Drive'!X16+'A-N Drive'!X17+VRE!X11+VRE!X12+VRE!X13</f>
        <v>1114906.0545826433</v>
      </c>
      <c r="U113" s="482">
        <f>FT!Y15+FT!Y16+FT!Y17+'Forest Glen'!Y15+'Forest Glen'!Y16+'Forest Glen'!Y17+NC!Y15+NC!Y16+NC!Y17+Rosslyn!Y15+Rosslyn!Y16+Rosslyn!Y17+WH!Y15+WH!Y16+WH!Y17+'A-N Drive'!Y15+'A-N Drive'!Y16+'A-N Drive'!Y17+VRE!Y11+VRE!Y12+VRE!Y13</f>
        <v>1139290.1089747893</v>
      </c>
      <c r="V113" s="482">
        <f>FT!Z15+FT!Z16+FT!Z17+'Forest Glen'!Z15+'Forest Glen'!Z16+'Forest Glen'!Z17+NC!Z15+NC!Z16+NC!Z17+Rosslyn!Z15+Rosslyn!Z16+Rosslyn!Z17+WH!Z15+WH!Z16+WH!Z17+'A-N Drive'!Z15+'A-N Drive'!Z16+'A-N Drive'!Z17+VRE!Z11+VRE!Z12+VRE!Z13</f>
        <v>1164500.3200887293</v>
      </c>
      <c r="W113" s="482">
        <f>FT!AA15+FT!AA16+FT!AA17+'Forest Glen'!AA15+'Forest Glen'!AA16+'Forest Glen'!AA17+NC!AA15+NC!AA16+NC!AA17+Rosslyn!AA15+Rosslyn!AA16+Rosslyn!AA17+WH!AA15+WH!AA16+WH!AA17+'A-N Drive'!AA15+'A-N Drive'!AA16+'A-N Drive'!AA17+VRE!AA11+VRE!AA12+VRE!AA13</f>
        <v>1190649.1449692077</v>
      </c>
      <c r="X113" s="482">
        <f>FT!AB15+FT!AB16+FT!AB17+'Forest Glen'!AB15+'Forest Glen'!AB16+'Forest Glen'!AB17+NC!AB15+NC!AB16+NC!AB17+Rosslyn!AB15+Rosslyn!AB16+Rosslyn!AB17+WH!AB15+WH!AB16+WH!AB17+'A-N Drive'!AB15+'A-N Drive'!AB16+'A-N Drive'!AB17+VRE!AB11+VRE!AB12+VRE!AB13</f>
        <v>1217864.4135607965</v>
      </c>
      <c r="Y113" s="482">
        <f>FT!AC15+FT!AC16+FT!AC17+'Forest Glen'!AC15+'Forest Glen'!AC16+'Forest Glen'!AC17+NC!AC15+NC!AC16+NC!AC17+Rosslyn!AC15+Rosslyn!AC16+Rosslyn!AC17+WH!AC15+WH!AC16+WH!AC17+'A-N Drive'!AC15+'A-N Drive'!AC16+'A-N Drive'!AC17+VRE!AC11+VRE!AC12+VRE!AC13</f>
        <v>1246291.4314961091</v>
      </c>
    </row>
    <row r="114" spans="1:26" s="26" customFormat="1" ht="14.25" customHeight="1">
      <c r="A114" s="473" t="s">
        <v>397</v>
      </c>
      <c r="B114" s="200">
        <f>SUM('Forest Glen'!F20:F26)+SUM('A-N Drive'!F20:F26)</f>
        <v>0</v>
      </c>
      <c r="C114" s="200">
        <f>SUM('Forest Glen'!G20:G26)+SUM('A-N Drive'!G20:G26)</f>
        <v>182500</v>
      </c>
      <c r="D114" s="200">
        <f>SUM('Forest Glen'!H20:H26)+SUM('A-N Drive'!H20:H26)</f>
        <v>184325</v>
      </c>
      <c r="E114" s="482">
        <f>SUM('Forest Glen'!I20:I26)+SUM('A-N Drive'!I20:I26)</f>
        <v>186168.25</v>
      </c>
      <c r="F114" s="482">
        <f>SUM('Forest Glen'!J20:J26)+SUM('A-N Drive'!J20:J26)</f>
        <v>255529.93250000002</v>
      </c>
      <c r="G114" s="482">
        <f>SUM('Forest Glen'!K20:K26)+SUM('A-N Drive'!K20:K26)</f>
        <v>282072.73182500002</v>
      </c>
      <c r="H114" s="482">
        <f>SUM('Forest Glen'!L20:L26)+SUM('A-N Drive'!L20:L26)</f>
        <v>284893.45914325002</v>
      </c>
      <c r="I114" s="200">
        <f>SUM('Forest Glen'!M20:M26)+SUM('A-N Drive'!M20:M26)</f>
        <v>287742.39373468253</v>
      </c>
      <c r="J114" s="200">
        <f>SUM('Forest Glen'!N20:N26)+SUM('A-N Drive'!N20:N26)</f>
        <v>290619.81767202937</v>
      </c>
      <c r="K114" s="200">
        <f>SUM('Forest Glen'!O20:O26)+SUM('A-N Drive'!O20:O26)</f>
        <v>293526.01584874967</v>
      </c>
      <c r="L114" s="200">
        <f>SUM('Forest Glen'!P20:P26)+SUM('A-N Drive'!P20:P26)</f>
        <v>296461.27600723715</v>
      </c>
      <c r="M114" s="200">
        <f>SUM('Forest Glen'!Q20:Q26)+SUM('A-N Drive'!Q20:Q26)</f>
        <v>299425.88876730949</v>
      </c>
      <c r="N114" s="200">
        <f>SUM('Forest Glen'!R20:R26)+SUM('A-N Drive'!R20:R26)</f>
        <v>302420.14765498263</v>
      </c>
      <c r="O114" s="200">
        <f>SUM('Forest Glen'!S20:S26)+SUM('A-N Drive'!S20:S26)</f>
        <v>305444.34913153248</v>
      </c>
      <c r="P114" s="200">
        <f>SUM('Forest Glen'!T20:T26)+SUM('A-N Drive'!T20:T26)</f>
        <v>308498.79262284777</v>
      </c>
      <c r="Q114" s="200">
        <f>SUM('Forest Glen'!U20:U26)+SUM('A-N Drive'!U20:U26)</f>
        <v>311583.78054907621</v>
      </c>
      <c r="R114" s="200">
        <f>SUM('Forest Glen'!V20:V26)+SUM('A-N Drive'!V20:V26)</f>
        <v>314699.61835456704</v>
      </c>
      <c r="S114" s="200">
        <f>SUM('Forest Glen'!W20:W26)+SUM('A-N Drive'!W20:W26)</f>
        <v>317846.61453811266</v>
      </c>
      <c r="T114" s="200">
        <f>SUM('Forest Glen'!X20:X26)+SUM('A-N Drive'!X20:X26)</f>
        <v>321025.08068349381</v>
      </c>
      <c r="U114" s="200">
        <f>SUM('Forest Glen'!Y20:Y26)+SUM('A-N Drive'!Y20:Y26)</f>
        <v>324235.33149032877</v>
      </c>
      <c r="V114" s="200">
        <f>SUM('Forest Glen'!Z20:Z26)+SUM('A-N Drive'!Z20:Z26)</f>
        <v>327477.68480523198</v>
      </c>
      <c r="W114" s="200">
        <f>SUM('Forest Glen'!AA20:AA26)+SUM('A-N Drive'!AA20:AA26)</f>
        <v>330752.46165328438</v>
      </c>
      <c r="X114" s="200">
        <f>SUM('Forest Glen'!AB20:AB26)+SUM('A-N Drive'!AB20:AB26)</f>
        <v>334059.98626981722</v>
      </c>
      <c r="Y114" s="482">
        <f>SUM('Forest Glen'!AC20:AC26)+SUM('A-N Drive'!AC20:AC26)</f>
        <v>337400.5861325154</v>
      </c>
    </row>
    <row r="115" spans="1:26" s="26" customFormat="1" ht="14.25" customHeight="1">
      <c r="A115" s="473" t="s">
        <v>352</v>
      </c>
      <c r="B115" s="200">
        <f>'Forest Glen'!F29+'Forest Glen'!F30+'Forest Glen'!F31</f>
        <v>0</v>
      </c>
      <c r="C115" s="200">
        <f>'Forest Glen'!G29+'Forest Glen'!G30+'Forest Glen'!G31</f>
        <v>0</v>
      </c>
      <c r="D115" s="200">
        <f>'Forest Glen'!H29+'Forest Glen'!H30+'Forest Glen'!H31</f>
        <v>0</v>
      </c>
      <c r="E115" s="200">
        <f>'Forest Glen'!I29+'Forest Glen'!I30+'Forest Glen'!I31</f>
        <v>0</v>
      </c>
      <c r="F115" s="200">
        <f>'Forest Glen'!J29+'Forest Glen'!J30+'Forest Glen'!J31</f>
        <v>2695.2305625299036</v>
      </c>
      <c r="G115" s="200">
        <f>'Forest Glen'!K29+'Forest Glen'!K30+'Forest Glen'!K31</f>
        <v>3714.7448256367898</v>
      </c>
      <c r="H115" s="200">
        <f>'Forest Glen'!L29+'Forest Glen'!L30+'Forest Glen'!L31</f>
        <v>3835.8489012337095</v>
      </c>
      <c r="I115" s="200">
        <f>'Forest Glen'!M29+'Forest Glen'!M30+'Forest Glen'!M31</f>
        <v>121.10407559691893</v>
      </c>
      <c r="J115" s="200">
        <f>'Forest Glen'!N29+'Forest Glen'!N30+'Forest Glen'!N31</f>
        <v>3959.9175920294847</v>
      </c>
      <c r="K115" s="200">
        <f>'Forest Glen'!O29+'Forest Glen'!O30+'Forest Glen'!O31</f>
        <v>3962.8822072283419</v>
      </c>
      <c r="L115" s="200">
        <f>'Forest Glen'!P29+'Forest Glen'!P30+'Forest Glen'!P31</f>
        <v>3965.8468224271996</v>
      </c>
      <c r="M115" s="200">
        <f>'Forest Glen'!Q29+'Forest Glen'!Q30+'Forest Glen'!Q31</f>
        <v>3968.811437626056</v>
      </c>
      <c r="N115" s="200">
        <f>'Forest Glen'!R29+'Forest Glen'!R30+'Forest Glen'!R31</f>
        <v>3971.7760528249128</v>
      </c>
      <c r="O115" s="200">
        <f>'Forest Glen'!S29+'Forest Glen'!S30+'Forest Glen'!S31</f>
        <v>3974.7406680237705</v>
      </c>
      <c r="P115" s="200">
        <f>'Forest Glen'!T29+'Forest Glen'!T30+'Forest Glen'!T31</f>
        <v>3977.7052832226259</v>
      </c>
      <c r="Q115" s="200">
        <f>'Forest Glen'!U29+'Forest Glen'!U30+'Forest Glen'!U31</f>
        <v>3980.6698984214831</v>
      </c>
      <c r="R115" s="200">
        <f>'Forest Glen'!V29+'Forest Glen'!V30+'Forest Glen'!V31</f>
        <v>3983.6345136203399</v>
      </c>
      <c r="S115" s="200">
        <f>'Forest Glen'!W29+'Forest Glen'!W30+'Forest Glen'!W31</f>
        <v>3986.5991288191972</v>
      </c>
      <c r="T115" s="200">
        <f>'Forest Glen'!X29+'Forest Glen'!X30+'Forest Glen'!X31</f>
        <v>4019.4556879229795</v>
      </c>
      <c r="U115" s="200">
        <f>'Forest Glen'!Y29+'Forest Glen'!Y30+'Forest Glen'!Y31</f>
        <v>4022.4426478415053</v>
      </c>
      <c r="V115" s="200">
        <f>'Forest Glen'!Z29+'Forest Glen'!Z30+'Forest Glen'!Z31</f>
        <v>4025.4296077600311</v>
      </c>
      <c r="W115" s="200">
        <f>'Forest Glen'!AA29+'Forest Glen'!AA30+'Forest Glen'!AA31</f>
        <v>4028.4165676785565</v>
      </c>
      <c r="X115" s="200">
        <f>'Forest Glen'!AB29+'Forest Glen'!AB30+'Forest Glen'!AB31</f>
        <v>4031.4035275970814</v>
      </c>
      <c r="Y115" s="200">
        <f>'Forest Glen'!AC29+'Forest Glen'!AC30+'Forest Glen'!AC31</f>
        <v>4034.3904875156081</v>
      </c>
    </row>
    <row r="116" spans="1:26" s="26" customFormat="1" ht="14.25" customHeight="1">
      <c r="A116" s="473" t="s">
        <v>606</v>
      </c>
      <c r="B116" s="482">
        <f>FT!F12+FT!F17+'Forest Glen'!F12+'Forest Glen'!F17+'Forest Glen'!F24+'Forest Glen'!F26+'Forest Glen'!F31+NC!F12+NC!F17+Rosslyn!F12+Rosslyn!F17+WH!F12+WH!F17++'A-N Drive'!F12+'A-N Drive'!F17+'A-N Drive'!F24+'A-N Drive'!F26+VRE!F13</f>
        <v>0</v>
      </c>
      <c r="C116" s="482">
        <f>FT!G12+FT!G17+'Forest Glen'!G12+'Forest Glen'!G17+'Forest Glen'!G24+'Forest Glen'!G26+'Forest Glen'!G31+NC!G12+NC!G17+Rosslyn!G12+Rosslyn!G17+WH!G12+WH!G17++'A-N Drive'!G12+'A-N Drive'!G17+'A-N Drive'!G24+'A-N Drive'!G26+VRE!G13</f>
        <v>91535.34892472814</v>
      </c>
      <c r="D116" s="482">
        <f>FT!H12+FT!H17+'Forest Glen'!H12+'Forest Glen'!H17+'Forest Glen'!H24+'Forest Glen'!H26+'Forest Glen'!H31+NC!H12+NC!H17+Rosslyn!H12+Rosslyn!H17+WH!H12+WH!H17++'A-N Drive'!H12+'A-N Drive'!H17+'A-N Drive'!H24+'A-N Drive'!H26+VRE!H13</f>
        <v>166915.56321612262</v>
      </c>
      <c r="E116" s="482">
        <f>FT!I12+FT!I17+'Forest Glen'!I12+'Forest Glen'!I17+'Forest Glen'!I24+'Forest Glen'!I26+'Forest Glen'!I31+NC!I12+NC!I17+Rosslyn!I12+Rosslyn!I17+WH!I12+WH!I17++'A-N Drive'!I12+'A-N Drive'!I17+'A-N Drive'!I24+'A-N Drive'!I26+VRE!I13</f>
        <v>168220.91244928661</v>
      </c>
      <c r="F116" s="482">
        <f>FT!J12+FT!J17+'Forest Glen'!J12+'Forest Glen'!J17+'Forest Glen'!J24+'Forest Glen'!J26+'Forest Glen'!J31+NC!J12+NC!J17+Rosslyn!J12+Rosslyn!J17+WH!J12+WH!J17++'A-N Drive'!J12+'A-N Drive'!J17+'A-N Drive'!J24+'A-N Drive'!J26+VRE!J13</f>
        <v>206948.48423702607</v>
      </c>
      <c r="G116" s="482">
        <f>FT!K12+FT!K17+'Forest Glen'!K12+'Forest Glen'!K17+'Forest Glen'!K24+'Forest Glen'!K26+'Forest Glen'!K31+NC!K12+NC!K17+Rosslyn!K12+Rosslyn!K17+WH!K12+WH!K17++'A-N Drive'!K12+'A-N Drive'!K17+'A-N Drive'!K24+'A-N Drive'!K26+VRE!K13</f>
        <v>222075.72260429713</v>
      </c>
      <c r="H116" s="482">
        <f>FT!L12+FT!L17+'Forest Glen'!L12+'Forest Glen'!L17+'Forest Glen'!L24+'Forest Glen'!L26+'Forest Glen'!L31+NC!L12+NC!L17+Rosslyn!L12+Rosslyn!L17+WH!L12+WH!L17++'A-N Drive'!L12+'A-N Drive'!L17+'A-N Drive'!L24+'A-N Drive'!L26+VRE!L13</f>
        <v>224245.07358758949</v>
      </c>
      <c r="I116" s="482">
        <f>FT!M12+FT!M17+'Forest Glen'!M12+'Forest Glen'!M17+'Forest Glen'!M24+'Forest Glen'!M26+'Forest Glen'!M31+NC!M12+NC!M17+Rosslyn!M12+Rosslyn!M17+WH!M12+WH!M17++'A-N Drive'!M12+'A-N Drive'!M17+'A-N Drive'!M24+'A-N Drive'!M26+VRE!M13</f>
        <v>211607.78025861242</v>
      </c>
      <c r="J116" s="482">
        <f>FT!N12+FT!N17+'Forest Glen'!N12+'Forest Glen'!N17+'Forest Glen'!N24+'Forest Glen'!N26+'Forest Glen'!N31+NC!N12+NC!N17+Rosslyn!N12+Rosslyn!N17+WH!N12+WH!N17++'A-N Drive'!N12+'A-N Drive'!N17+'A-N Drive'!N24+'A-N Drive'!N26+VRE!N13</f>
        <v>228940.62579369385</v>
      </c>
      <c r="K116" s="482">
        <f>FT!O12+FT!O17+'Forest Glen'!O12+'Forest Glen'!O17+'Forest Glen'!O24+'Forest Glen'!O26+'Forest Glen'!O31+NC!O12+NC!O17+Rosslyn!O12+Rosslyn!O17+WH!O12+WH!O17++'A-N Drive'!O12+'A-N Drive'!O17+'A-N Drive'!O24+'A-N Drive'!O26+VRE!O13</f>
        <v>231468.29436311134</v>
      </c>
      <c r="L116" s="482">
        <f>FT!P12+FT!P17+'Forest Glen'!P12+'Forest Glen'!P17+'Forest Glen'!P24+'Forest Glen'!P26+'Forest Glen'!P31+NC!P12+NC!P17+Rosslyn!P12+Rosslyn!P17+WH!P12+WH!P17++'A-N Drive'!P12+'A-N Drive'!P17+'A-N Drive'!P24+'A-N Drive'!P26+VRE!P13</f>
        <v>234012.21705725029</v>
      </c>
      <c r="M116" s="482">
        <f>FT!Q12+FT!Q17+'Forest Glen'!Q12+'Forest Glen'!Q17+'Forest Glen'!Q24+'Forest Glen'!Q26+'Forest Glen'!Q31+NC!Q12+NC!Q17+Rosslyn!Q12+Rosslyn!Q17+WH!Q12+WH!Q17++'A-N Drive'!Q12+'A-N Drive'!Q17+'A-N Drive'!Q24+'A-N Drive'!Q26+VRE!Q13</f>
        <v>236573.36850073945</v>
      </c>
      <c r="N116" s="482">
        <f>FT!R12+FT!R17+'Forest Glen'!R12+'Forest Glen'!R17+'Forest Glen'!R24+'Forest Glen'!R26+'Forest Glen'!R31+NC!R12+NC!R17+Rosslyn!R12+Rosslyn!R17+WH!R12+WH!R17++'A-N Drive'!R12+'A-N Drive'!R17+'A-N Drive'!R24+'A-N Drive'!R26+VRE!R13</f>
        <v>239152.84392727274</v>
      </c>
      <c r="O116" s="482">
        <f>FT!S12+FT!S17+'Forest Glen'!S12+'Forest Glen'!S17+'Forest Glen'!S24+'Forest Glen'!S26+'Forest Glen'!S31+NC!S12+NC!S17+Rosslyn!S12+Rosslyn!S17+WH!S12+WH!S17++'A-N Drive'!S12+'A-N Drive'!S17+'A-N Drive'!S24+'A-N Drive'!S26+VRE!S13</f>
        <v>241751.87554712984</v>
      </c>
      <c r="P116" s="482">
        <f>FT!T12+FT!T17+'Forest Glen'!T12+'Forest Glen'!T17+'Forest Glen'!T24+'Forest Glen'!T26+'Forest Glen'!T31+NC!T12+NC!T17+Rosslyn!T12+Rosslyn!T17+WH!T12+WH!T17++'A-N Drive'!T12+'A-N Drive'!T17+'A-N Drive'!T24+'A-N Drive'!T26+VRE!T13</f>
        <v>244371.85115236361</v>
      </c>
      <c r="Q116" s="482">
        <f>FT!U12+FT!U17+'Forest Glen'!U12+'Forest Glen'!U17+'Forest Glen'!U24+'Forest Glen'!U26+'Forest Glen'!U31+NC!U12+NC!U17+Rosslyn!U12+Rosslyn!U17+WH!U12+WH!U17++'A-N Drive'!U12+'A-N Drive'!U17+'A-N Drive'!U24+'A-N Drive'!U26+VRE!U13</f>
        <v>247014.33526575071</v>
      </c>
      <c r="R116" s="482">
        <f>FT!V12+FT!V17+'Forest Glen'!V12+'Forest Glen'!V17+'Forest Glen'!V24+'Forest Glen'!V26+'Forest Glen'!V31+NC!V12+NC!V17+Rosslyn!V12+Rosslyn!V17+WH!V12+WH!V17++'A-N Drive'!V12+'A-N Drive'!V17+'A-N Drive'!V24+'A-N Drive'!V26+VRE!V13</f>
        <v>249681.09318147722</v>
      </c>
      <c r="S116" s="482">
        <f>FT!W12+FT!W17+'Forest Glen'!W12+'Forest Glen'!W17+'Forest Glen'!W24+'Forest Glen'!W26+'Forest Glen'!W31+NC!W12+NC!W17+Rosslyn!W12+Rosslyn!W17+WH!W12+WH!W17++'A-N Drive'!W12+'A-N Drive'!W17+'A-N Drive'!W24+'A-N Drive'!W26+VRE!W13</f>
        <v>252374.11829313071</v>
      </c>
      <c r="T116" s="482">
        <f>FT!X12+FT!X17+'Forest Glen'!X12+'Forest Glen'!X17+'Forest Glen'!X24+'Forest Glen'!X26+'Forest Glen'!X31+NC!X12+NC!X17+Rosslyn!X12+Rosslyn!X17+WH!X12+WH!X17++'A-N Drive'!X12+'A-N Drive'!X17+'A-N Drive'!X24+'A-N Drive'!X26+VRE!X13</f>
        <v>255373.98658758251</v>
      </c>
      <c r="U116" s="482">
        <f>FT!Y12+FT!Y17+'Forest Glen'!Y12+'Forest Glen'!Y17+'Forest Glen'!Y24+'Forest Glen'!Y26+'Forest Glen'!Y31+NC!Y12+NC!Y17+Rosslyn!Y12+Rosslyn!Y17+WH!Y12+WH!Y17++'A-N Drive'!Y12+'A-N Drive'!Y17+'A-N Drive'!Y24+'A-N Drive'!Y26+VRE!Y13</f>
        <v>258366.39232975795</v>
      </c>
      <c r="V116" s="482">
        <f>FT!Z12+FT!Z17+'Forest Glen'!Z12+'Forest Glen'!Z17+'Forest Glen'!Z24+'Forest Glen'!Z26+'Forest Glen'!Z31+NC!Z12+NC!Z17+Rosslyn!Z12+Rosslyn!Z17+WH!Z12+WH!Z17++'A-N Drive'!Z12+'A-N Drive'!Z17+'A-N Drive'!Z24+'A-N Drive'!Z26+VRE!Z13</f>
        <v>261392.74651702962</v>
      </c>
      <c r="W116" s="482">
        <f>FT!AA12+FT!AA17+'Forest Glen'!AA12+'Forest Glen'!AA17+'Forest Glen'!AA24+'Forest Glen'!AA26+'Forest Glen'!AA31+NC!AA12+NC!AA17+Rosslyn!AA12+Rosslyn!AA17+WH!AA12+WH!AA17++'A-N Drive'!AA12+'A-N Drive'!AA17+'A-N Drive'!AA24+'A-N Drive'!AA26+VRE!AA13</f>
        <v>264456.31105762615</v>
      </c>
      <c r="X116" s="482">
        <f>FT!AB12+FT!AB17+'Forest Glen'!AB12+'Forest Glen'!AB17+'Forest Glen'!AB24+'Forest Glen'!AB26+'Forest Glen'!AB31+NC!AB12+NC!AB17+Rosslyn!AB12+Rosslyn!AB17+WH!AB12+WH!AB17++'A-N Drive'!AB12+'A-N Drive'!AB17+'A-N Drive'!AB24+'A-N Drive'!AB26+VRE!AB13</f>
        <v>267560.77998583374</v>
      </c>
      <c r="Y116" s="482">
        <f>FT!AC12+FT!AC17+'Forest Glen'!AC12+'Forest Glen'!AC17+'Forest Glen'!AC24+'Forest Glen'!AC26+'Forest Glen'!AC31+NC!AC12+NC!AC17+Rosslyn!AC12+Rosslyn!AC17+WH!AC12+WH!AC17++'A-N Drive'!AC12+'A-N Drive'!AC17+'A-N Drive'!AC24+'A-N Drive'!AC26+VRE!AC13</f>
        <v>270710.33843019919</v>
      </c>
    </row>
    <row r="117" spans="1:26" s="26" customFormat="1" ht="14.25" customHeight="1">
      <c r="A117" s="483" t="s">
        <v>420</v>
      </c>
      <c r="B117" s="484"/>
      <c r="C117" s="484"/>
      <c r="D117" s="484"/>
      <c r="E117" s="484"/>
      <c r="F117" s="484"/>
      <c r="G117" s="484"/>
      <c r="H117" s="484"/>
      <c r="I117" s="484"/>
      <c r="J117" s="484"/>
      <c r="K117" s="484"/>
      <c r="L117" s="484"/>
      <c r="M117" s="484"/>
      <c r="N117" s="484"/>
      <c r="O117" s="484"/>
      <c r="P117" s="484"/>
      <c r="Q117" s="484"/>
      <c r="R117" s="484"/>
      <c r="S117" s="484"/>
      <c r="T117" s="484"/>
      <c r="U117" s="484"/>
      <c r="V117" s="484"/>
      <c r="W117" s="484"/>
      <c r="X117" s="484"/>
      <c r="Y117" s="484"/>
    </row>
    <row r="118" spans="1:26" s="26" customFormat="1" ht="14.25" customHeight="1">
      <c r="A118" s="476" t="s">
        <v>488</v>
      </c>
      <c r="B118" s="485">
        <f>FT!F20+'Forest Glen'!F34+NC!F20+Rosslyn!F20+WH!F20+'A-N Drive'!F29+VRE!F17</f>
        <v>0</v>
      </c>
      <c r="C118" s="485">
        <f>FT!G20+'Forest Glen'!G34+NC!G20+Rosslyn!G20+WH!G20+'A-N Drive'!G29+VRE!G17</f>
        <v>144633.29550775094</v>
      </c>
      <c r="D118" s="485">
        <f>FT!H20+'Forest Glen'!H34+NC!H20+Rosslyn!H20+WH!H20+'A-N Drive'!H29+VRE!H17</f>
        <v>296143.2756866783</v>
      </c>
      <c r="E118" s="485">
        <f>FT!I20+'Forest Glen'!I34+NC!I20+Rosslyn!I20+WH!I20+'A-N Drive'!I29+VRE!I17</f>
        <v>298456.96990601462</v>
      </c>
      <c r="F118" s="485">
        <f>FT!J20+'Forest Glen'!J34+NC!J20+Rosslyn!J20+WH!J20+'A-N Drive'!J29+VRE!J17</f>
        <v>355558.07593815099</v>
      </c>
      <c r="G118" s="485">
        <f>FT!K20+'Forest Glen'!K34+NC!K20+Rosslyn!K20+WH!K20+'A-N Drive'!K29+VRE!K17</f>
        <v>378190.68246319372</v>
      </c>
      <c r="H118" s="485">
        <f>FT!L20+'Forest Glen'!L34+NC!L20+Rosslyn!L20+WH!L20+'A-N Drive'!L29+VRE!L17</f>
        <v>381966.3963969365</v>
      </c>
      <c r="I118" s="485">
        <f>FT!M20+'Forest Glen'!M34+NC!M20+Rosslyn!M20+WH!M20+'A-N Drive'!M29+VRE!M17</f>
        <v>355853.06183950056</v>
      </c>
      <c r="J118" s="485">
        <f>FT!N20+'Forest Glen'!N34+NC!N20+Rosslyn!N20+WH!N20+'A-N Drive'!N29+VRE!N17</f>
        <v>390100.69104942406</v>
      </c>
      <c r="K118" s="485">
        <f>FT!O20+'Forest Glen'!O34+NC!O20+Rosslyn!O20+WH!O20+'A-N Drive'!O29+VRE!O17</f>
        <v>394462.63333592395</v>
      </c>
      <c r="L118" s="485">
        <f>FT!P20+'Forest Glen'!P34+NC!P20+Rosslyn!P20+WH!P20+'A-N Drive'!P29+VRE!P17</f>
        <v>398855.99896951136</v>
      </c>
      <c r="M118" s="485">
        <f>FT!Q20+'Forest Glen'!Q34+NC!Q20+Rosslyn!Q20+WH!Q20+'A-N Drive'!Q29+VRE!Q17</f>
        <v>403283.03186206851</v>
      </c>
      <c r="N118" s="485">
        <f>FT!R20+'Forest Glen'!R34+NC!R20+Rosslyn!R20+WH!R20+'A-N Drive'!R29+VRE!R17</f>
        <v>407746.25774085143</v>
      </c>
      <c r="O118" s="485">
        <f>FT!S20+'Forest Glen'!S34+NC!S20+Rosslyn!S20+WH!S20+'A-N Drive'!S29+VRE!S17</f>
        <v>412248.52235723991</v>
      </c>
      <c r="P118" s="485">
        <f>FT!T20+'Forest Glen'!T34+NC!T20+Rosslyn!T20+WH!T20+'A-N Drive'!T29+VRE!T17</f>
        <v>416793.03491716745</v>
      </c>
      <c r="Q118" s="485">
        <f>FT!U20+'Forest Glen'!U34+NC!U20+Rosslyn!U20+WH!U20+'A-N Drive'!U29+VRE!U17</f>
        <v>421383.41744746739</v>
      </c>
      <c r="R118" s="485">
        <f>FT!V20+'Forest Glen'!V34+NC!V20+Rosslyn!V20+WH!V20+'A-N Drive'!V29+VRE!V17</f>
        <v>426023.76091007615</v>
      </c>
      <c r="S118" s="485">
        <f>FT!W20+'Forest Glen'!W34+NC!W20+Rosslyn!W20+WH!W20+'A-N Drive'!W29+VRE!W17</f>
        <v>430718.6889871087</v>
      </c>
      <c r="T118" s="485">
        <f>FT!X20+'Forest Glen'!X34+NC!X20+Rosslyn!X20+WH!X20+'A-N Drive'!X29+VRE!X17</f>
        <v>435988.09010609594</v>
      </c>
      <c r="U118" s="485">
        <f>FT!Y20+'Forest Glen'!Y34+NC!Y20+Rosslyn!Y20+WH!Y20+'A-N Drive'!Y29+VRE!Y17</f>
        <v>441244.02907190117</v>
      </c>
      <c r="V118" s="485">
        <f>FT!Z20+'Forest Glen'!Z34+NC!Z20+Rosslyn!Z20+WH!Z20+'A-N Drive'!Z29+VRE!Z17</f>
        <v>446572.39599268918</v>
      </c>
      <c r="W118" s="485">
        <f>FT!AA20+'Forest Glen'!AA34+NC!AA20+Rosslyn!AA20+WH!AA20+'A-N Drive'!AA29+VRE!AA17</f>
        <v>451980.77657878253</v>
      </c>
      <c r="X118" s="485">
        <f>FT!AB20+'Forest Glen'!AB34+NC!AB20+Rosslyn!AB20+WH!AB20+'A-N Drive'!AB29+VRE!AB17</f>
        <v>457477.76542938809</v>
      </c>
      <c r="Y118" s="485">
        <f>FT!AC20+'Forest Glen'!AC34+NC!AC20+Rosslyn!AC20+WH!AC20+'A-N Drive'!AC29+VRE!AC17</f>
        <v>463073.10364799603</v>
      </c>
    </row>
    <row r="119" spans="1:26" s="26" customFormat="1" ht="14.25" customHeight="1">
      <c r="A119" s="476" t="s">
        <v>489</v>
      </c>
      <c r="B119" s="485">
        <f>FT!F21+'Forest Glen'!F35+NC!F21+Rosslyn!F21+WH!F21+'A-N Drive'!F30+VRE!F18</f>
        <v>0</v>
      </c>
      <c r="C119" s="485">
        <f>FT!G21+'Forest Glen'!G35+NC!G21+Rosslyn!G21+WH!G21+'A-N Drive'!G30+VRE!G18</f>
        <v>-47081.943547281931</v>
      </c>
      <c r="D119" s="485">
        <f>FT!H21+'Forest Glen'!H35+NC!H21+Rosslyn!H21+WH!H21+'A-N Drive'!H30+VRE!H18</f>
        <v>-69392.591422449885</v>
      </c>
      <c r="E119" s="485">
        <f>FT!I21+'Forest Glen'!I35+NC!I21+Rosslyn!I21+WH!I21+'A-N Drive'!I30+VRE!I18</f>
        <v>-70189.477494095234</v>
      </c>
      <c r="F119" s="485">
        <f>FT!J21+'Forest Glen'!J35+NC!J21+Rosslyn!J21+WH!J21+'A-N Drive'!J30+VRE!J18</f>
        <v>-74367.579355613634</v>
      </c>
      <c r="G119" s="485">
        <f>FT!K21+'Forest Glen'!K35+NC!K21+Rosslyn!K21+WH!K21+'A-N Drive'!K30+VRE!K18</f>
        <v>-76410.521740909666</v>
      </c>
      <c r="H119" s="485">
        <f>FT!L21+'Forest Glen'!L35+NC!L21+Rosslyn!L21+WH!L21+'A-N Drive'!L30+VRE!L18</f>
        <v>-77273.700491624651</v>
      </c>
      <c r="I119" s="485">
        <f>FT!M21+'Forest Glen'!M35+NC!M21+Rosslyn!M21+WH!M21+'A-N Drive'!M30+VRE!M18</f>
        <v>-78145.258457116244</v>
      </c>
      <c r="J119" s="485">
        <f>FT!N21+'Forest Glen'!N35+NC!N21+Rosslyn!N21+WH!N21+'A-N Drive'!N30+VRE!N18</f>
        <v>-78865.518464703186</v>
      </c>
      <c r="K119" s="485">
        <f>FT!O21+'Forest Glen'!O35+NC!O21+Rosslyn!O21+WH!O21+'A-N Drive'!O30+VRE!O18</f>
        <v>-79595.706167100114</v>
      </c>
      <c r="L119" s="485">
        <f>FT!P21+'Forest Glen'!P35+NC!P21+Rosslyn!P21+WH!P21+'A-N Drive'!P30+VRE!P18</f>
        <v>-80336.751597901399</v>
      </c>
      <c r="M119" s="485">
        <f>FT!Q21+'Forest Glen'!Q35+NC!Q21+Rosslyn!Q21+WH!Q21+'A-N Drive'!Q30+VRE!Q18</f>
        <v>-81089.707738546509</v>
      </c>
      <c r="N119" s="485">
        <f>FT!R21+'Forest Glen'!R35+NC!R21+Rosslyn!R21+WH!R21+'A-N Drive'!R30+VRE!R18</f>
        <v>-81855.76729477779</v>
      </c>
      <c r="O119" s="485">
        <f>FT!S21+'Forest Glen'!S35+NC!S21+Rosslyn!S21+WH!S21+'A-N Drive'!S30+VRE!S18</f>
        <v>-82636.281767689492</v>
      </c>
      <c r="P119" s="485">
        <f>FT!T21+'Forest Glen'!T35+NC!T21+Rosslyn!T21+WH!T21+'A-N Drive'!T30+VRE!T18</f>
        <v>-83432.783133263947</v>
      </c>
      <c r="Q119" s="485">
        <f>FT!U21+'Forest Glen'!U35+NC!U21+Rosslyn!U21+WH!U21+'A-N Drive'!U30+VRE!U18</f>
        <v>-84247.008487231724</v>
      </c>
      <c r="R119" s="485">
        <f>FT!V21+'Forest Glen'!V35+NC!V21+Rosslyn!V21+WH!V21+'A-N Drive'!V30+VRE!V18</f>
        <v>-85080.928060907492</v>
      </c>
      <c r="S119" s="485">
        <f>FT!W21+'Forest Glen'!W35+NC!W21+Rosslyn!W21+WH!W21+'A-N Drive'!W30+VRE!W18</f>
        <v>-85936.777069146687</v>
      </c>
      <c r="T119" s="485">
        <f>FT!X21+'Forest Glen'!X35+NC!X21+Rosslyn!X21+WH!X21+'A-N Drive'!X30+VRE!X18</f>
        <v>-86835.817672010715</v>
      </c>
      <c r="U119" s="485">
        <f>FT!Y21+'Forest Glen'!Y35+NC!Y21+Rosslyn!Y21+WH!Y21+'A-N Drive'!Y30+VRE!Y18</f>
        <v>-87790.549592701893</v>
      </c>
      <c r="V119" s="485">
        <f>FT!Z21+'Forest Glen'!Z35+NC!Z21+Rosslyn!Z21+WH!Z21+'A-N Drive'!Z30+VRE!Z18</f>
        <v>-88775.89397578541</v>
      </c>
      <c r="W119" s="485">
        <f>FT!AA21+'Forest Glen'!AA35+NC!AA21+Rosslyn!AA21+WH!AA21+'A-N Drive'!AA30+VRE!AA18</f>
        <v>-89795.561016326916</v>
      </c>
      <c r="X119" s="485">
        <f>FT!AB21+'Forest Glen'!AB35+NC!AB21+Rosslyn!AB21+WH!AB21+'A-N Drive'!AB30+VRE!AB18</f>
        <v>-90853.76368817917</v>
      </c>
      <c r="Y119" s="485">
        <f>FT!AC21+'Forest Glen'!AC35+NC!AC21+Rosslyn!AC21+WH!AC21+'A-N Drive'!AC30+VRE!AC18</f>
        <v>-91955.286476361056</v>
      </c>
    </row>
    <row r="120" spans="1:26" s="26" customFormat="1" ht="14.25" customHeight="1">
      <c r="A120" s="476" t="s">
        <v>490</v>
      </c>
      <c r="B120" s="485">
        <f>FT!F22+'Forest Glen'!F36+NC!F22+Rosslyn!F22+WH!F22+'A-N Drive'!F31+VRE!F19</f>
        <v>0</v>
      </c>
      <c r="C120" s="485">
        <f>FT!G22+'Forest Glen'!G36+NC!G22+Rosslyn!G22+WH!G22+'A-N Drive'!G31+VRE!G19</f>
        <v>-89597.9465830228</v>
      </c>
      <c r="D120" s="485">
        <f>FT!H22+'Forest Glen'!H36+NC!H22+Rosslyn!H22+WH!H22+'A-N Drive'!H31+VRE!H19</f>
        <v>-166092.71247055568</v>
      </c>
      <c r="E120" s="485">
        <f>FT!I22+'Forest Glen'!I36+NC!I22+Rosslyn!I22+WH!I22+'A-N Drive'!I31+VRE!I19</f>
        <v>-167469.70745672804</v>
      </c>
      <c r="F120" s="485">
        <f>FT!J22+'Forest Glen'!J36+NC!J22+Rosslyn!J22+WH!J22+'A-N Drive'!J31+VRE!J19</f>
        <v>-203090.57820112491</v>
      </c>
      <c r="G120" s="485">
        <f>FT!K22+'Forest Glen'!K36+NC!K22+Rosslyn!K22+WH!K22+'A-N Drive'!K31+VRE!K19</f>
        <v>-217137.63122389658</v>
      </c>
      <c r="H120" s="485">
        <f>FT!L22+'Forest Glen'!L36+NC!L22+Rosslyn!L22+WH!L22+'A-N Drive'!L31+VRE!L19</f>
        <v>-219354.22088799707</v>
      </c>
      <c r="I120" s="485">
        <f>FT!M22+'Forest Glen'!M36+NC!M22+Rosslyn!M22+WH!M22+'A-N Drive'!M31+VRE!M19</f>
        <v>-206494.50864032464</v>
      </c>
      <c r="J120" s="485">
        <f>FT!N22+'Forest Glen'!N36+NC!N22+Rosslyn!N22+WH!N22+'A-N Drive'!N31+VRE!N19</f>
        <v>-224031.78458576108</v>
      </c>
      <c r="K120" s="485">
        <f>FT!O22+'Forest Glen'!O36+NC!O22+Rosslyn!O22+WH!O22+'A-N Drive'!O31+VRE!O19</f>
        <v>-226494.77549614382</v>
      </c>
      <c r="L120" s="485">
        <f>FT!P22+'Forest Glen'!P36+NC!P22+Rosslyn!P22+WH!P22+'A-N Drive'!P31+VRE!P19</f>
        <v>-228979.22280082555</v>
      </c>
      <c r="M120" s="485">
        <f>FT!Q22+'Forest Glen'!Q36+NC!Q22+Rosslyn!Q22+WH!Q22+'A-N Drive'!Q31+VRE!Q19</f>
        <v>-231486.45865877924</v>
      </c>
      <c r="N120" s="485">
        <f>FT!R22+'Forest Glen'!R36+NC!R22+Rosslyn!R22+WH!R22+'A-N Drive'!R31+VRE!R19</f>
        <v>-234017.97706400338</v>
      </c>
      <c r="O120" s="485">
        <f>FT!S22+'Forest Glen'!S36+NC!S22+Rosslyn!S22+WH!S22+'A-N Drive'!S31+VRE!S19</f>
        <v>-236575.455693039</v>
      </c>
      <c r="P120" s="485">
        <f>FT!T22+'Forest Glen'!T36+NC!T22+Rosslyn!T22+WH!T22+'A-N Drive'!T31+VRE!T19</f>
        <v>-239160.78073656207</v>
      </c>
      <c r="Q120" s="485">
        <f>FT!U22+'Forest Glen'!U36+NC!U22+Rosslyn!U22+WH!U22+'A-N Drive'!U31+VRE!U19</f>
        <v>-241776.07512319245</v>
      </c>
      <c r="R120" s="485">
        <f>FT!V22+'Forest Glen'!V36+NC!V22+Rosslyn!V22+WH!V22+'A-N Drive'!V31+VRE!V19</f>
        <v>-244423.73059948941</v>
      </c>
      <c r="S120" s="485">
        <f>FT!W22+'Forest Glen'!W36+NC!W22+Rosslyn!W22+WH!W22+'A-N Drive'!W31+VRE!W19</f>
        <v>-247106.44419357739</v>
      </c>
      <c r="T120" s="485">
        <f>FT!X22+'Forest Glen'!X36+NC!X22+Rosslyn!X22+WH!X22+'A-N Drive'!X31+VRE!X19</f>
        <v>-250063.59575310885</v>
      </c>
      <c r="U120" s="485">
        <f>FT!Y22+'Forest Glen'!Y36+NC!Y22+Rosslyn!Y22+WH!Y22+'A-N Drive'!Y31+VRE!Y19</f>
        <v>-253021.6238990846</v>
      </c>
      <c r="V120" s="485">
        <f>FT!Z22+'Forest Glen'!Z36+NC!Z22+Rosslyn!Z22+WH!Z22+'A-N Drive'!Z31+VRE!Z19</f>
        <v>-256025.07650417037</v>
      </c>
      <c r="W120" s="485">
        <f>FT!AA22+'Forest Glen'!AA36+NC!AA22+Rosslyn!AA22+WH!AA22+'A-N Drive'!AA31+VRE!AA19</f>
        <v>-259078.34681995219</v>
      </c>
      <c r="X120" s="485">
        <f>FT!AB22+'Forest Glen'!AB36+NC!AB22+Rosslyn!AB22+WH!AB22+'A-N Drive'!AB31+VRE!AB19</f>
        <v>-262186.40555533825</v>
      </c>
      <c r="Y120" s="485">
        <f>FT!AC22+'Forest Glen'!AC36+NC!AC22+Rosslyn!AC22+WH!AC22+'A-N Drive'!AC31+VRE!AC19</f>
        <v>-265354.87953069858</v>
      </c>
    </row>
    <row r="121" spans="1:26" s="26" customFormat="1" ht="14.25" customHeight="1">
      <c r="A121" s="476" t="s">
        <v>491</v>
      </c>
      <c r="B121" s="485">
        <f>FT!F23+'Forest Glen'!F37+NC!F23+Rosslyn!F23+WH!F23+'A-N Drive'!F32+VRE!F20</f>
        <v>0</v>
      </c>
      <c r="C121" s="485">
        <f>FT!G23+'Forest Glen'!G37+NC!G23+Rosslyn!G23+WH!G23+'A-N Drive'!G32+VRE!G20</f>
        <v>-496429.15278964816</v>
      </c>
      <c r="D121" s="485">
        <f>FT!H23+'Forest Glen'!H37+NC!H23+Rosslyn!H23+WH!H23+'A-N Drive'!H32+VRE!H20</f>
        <v>-1023541.8060586118</v>
      </c>
      <c r="E121" s="485">
        <f>FT!I23+'Forest Glen'!I37+NC!I23+Rosslyn!I23+WH!I23+'A-N Drive'!I32+VRE!I20</f>
        <v>-1034699.7277187323</v>
      </c>
      <c r="F121" s="485">
        <f>FT!J23+'Forest Glen'!J37+NC!J23+Rosslyn!J23+WH!J23+'A-N Drive'!J32+VRE!J20</f>
        <v>-1236703.1725998118</v>
      </c>
      <c r="G121" s="485">
        <f>FT!K23+'Forest Glen'!K37+NC!K23+Rosslyn!K23+WH!K23+'A-N Drive'!K32+VRE!K20</f>
        <v>-1318707.2390157529</v>
      </c>
      <c r="H121" s="485">
        <f>FT!L23+'Forest Glen'!L37+NC!L23+Rosslyn!L23+WH!L23+'A-N Drive'!L32+VRE!L20</f>
        <v>-1335050.3871205102</v>
      </c>
      <c r="I121" s="485">
        <f>FT!M23+'Forest Glen'!M37+NC!M23+Rosslyn!M23+WH!M23+'A-N Drive'!M32+VRE!M20</f>
        <v>-1253449.5647301744</v>
      </c>
      <c r="J121" s="485">
        <f>FT!N23+'Forest Glen'!N37+NC!N23+Rosslyn!N23+WH!N23+'A-N Drive'!N32+VRE!N20</f>
        <v>-1369482.3302213633</v>
      </c>
      <c r="K121" s="485">
        <f>FT!O23+'Forest Glen'!O37+NC!O23+Rosslyn!O23+WH!O23+'A-N Drive'!O32+VRE!O20</f>
        <v>-1387586.6050883648</v>
      </c>
      <c r="L121" s="485">
        <f>FT!P23+'Forest Glen'!P37+NC!P23+Rosslyn!P23+WH!P23+'A-N Drive'!P32+VRE!P20</f>
        <v>-1405885.931390712</v>
      </c>
      <c r="M121" s="485">
        <f>FT!Q23+'Forest Glen'!Q37+NC!Q23+Rosslyn!Q23+WH!Q23+'A-N Drive'!Q32+VRE!Q20</f>
        <v>-1424390.2167411118</v>
      </c>
      <c r="N121" s="485">
        <f>FT!R23+'Forest Glen'!R37+NC!R23+Rosslyn!R23+WH!R23+'A-N Drive'!R32+VRE!R20</f>
        <v>-1443110.447020344</v>
      </c>
      <c r="O121" s="485">
        <f>FT!S23+'Forest Glen'!S37+NC!S23+Rosslyn!S23+WH!S23+'A-N Drive'!S32+VRE!S20</f>
        <v>-1462058.8289266166</v>
      </c>
      <c r="P121" s="485">
        <f>FT!T23+'Forest Glen'!T37+NC!T23+Rosslyn!T23+WH!T23+'A-N Drive'!T32+VRE!T20</f>
        <v>-1481248.9519323637</v>
      </c>
      <c r="Q121" s="485">
        <f>FT!U23+'Forest Glen'!U37+NC!U23+Rosslyn!U23+WH!U23+'A-N Drive'!U32+VRE!U20</f>
        <v>-1500695.9723016089</v>
      </c>
      <c r="R121" s="485">
        <f>FT!V23+'Forest Glen'!V37+NC!V23+Rosslyn!V23+WH!V23+'A-N Drive'!V32+VRE!V20</f>
        <v>-1520416.8221839424</v>
      </c>
      <c r="S121" s="485">
        <f>FT!W23+'Forest Glen'!W37+NC!W23+Rosslyn!W23+WH!W23+'A-N Drive'!W32+VRE!W20</f>
        <v>-1540430.4472137094</v>
      </c>
      <c r="T121" s="485">
        <f>FT!X23+'Forest Glen'!X37+NC!X23+Rosslyn!X23+WH!X23+'A-N Drive'!X32+VRE!X20</f>
        <v>-1562294.2611042478</v>
      </c>
      <c r="U121" s="485">
        <f>FT!Y23+'Forest Glen'!Y37+NC!Y23+Rosslyn!Y23+WH!Y23+'A-N Drive'!Y32+VRE!Y20</f>
        <v>-1584231.5899572899</v>
      </c>
      <c r="V121" s="485">
        <f>FT!Z23+'Forest Glen'!Z37+NC!Z23+Rosslyn!Z23+WH!Z23+'A-N Drive'!Z32+VRE!Z20</f>
        <v>-1606533.5009939319</v>
      </c>
      <c r="W121" s="485">
        <f>FT!AA23+'Forest Glen'!AA37+NC!AA23+Rosslyn!AA23+WH!AA23+'A-N Drive'!AA32+VRE!AA20</f>
        <v>-1629230.0880162828</v>
      </c>
      <c r="X121" s="485">
        <f>FT!AB23+'Forest Glen'!AB37+NC!AB23+Rosslyn!AB23+WH!AB23+'A-N Drive'!AB32+VRE!AB20</f>
        <v>-1652355.230564411</v>
      </c>
      <c r="Y121" s="485">
        <f>FT!AC23+'Forest Glen'!AC37+NC!AC23+Rosslyn!AC23+WH!AC23+'A-N Drive'!AC32+VRE!AC20</f>
        <v>-1675947.1058286787</v>
      </c>
    </row>
    <row r="122" spans="1:26" s="26" customFormat="1" ht="14.25" customHeight="1">
      <c r="A122" s="476" t="s">
        <v>492</v>
      </c>
      <c r="B122" s="486">
        <f>FT!F24+'Forest Glen'!F38+NC!F24+Rosslyn!F24+WH!F24+'A-N Drive'!F33+VRE!F21</f>
        <v>0</v>
      </c>
      <c r="C122" s="486">
        <f>FT!G24+'Forest Glen'!G38+NC!G24+Rosslyn!G24+WH!G24+'A-N Drive'!G33+VRE!G21</f>
        <v>87482.182826521021</v>
      </c>
      <c r="D122" s="486">
        <f>FT!H24+'Forest Glen'!H38+NC!H24+Rosslyn!H24+WH!H24+'A-N Drive'!H33+VRE!H21</f>
        <v>176148.67379627447</v>
      </c>
      <c r="E122" s="486">
        <f>FT!I24+'Forest Glen'!I38+NC!I24+Rosslyn!I24+WH!I24+'A-N Drive'!I33+VRE!I21</f>
        <v>174134.14010024676</v>
      </c>
      <c r="F122" s="486">
        <f>FT!J24+'Forest Glen'!J38+NC!J24+Rosslyn!J24+WH!J24+'A-N Drive'!J33+VRE!J21</f>
        <v>202998.71438309862</v>
      </c>
      <c r="G122" s="486">
        <f>FT!K24+'Forest Glen'!K38+NC!K24+Rosslyn!K24+WH!K24+'A-N Drive'!K33+VRE!K21</f>
        <v>211711.36543997083</v>
      </c>
      <c r="H122" s="486">
        <f>FT!L24+'Forest Glen'!L38+NC!L24+Rosslyn!L24+WH!L24+'A-N Drive'!L33+VRE!L21</f>
        <v>209908.44535819709</v>
      </c>
      <c r="I122" s="486">
        <f>FT!M24+'Forest Glen'!M38+NC!M24+Rosslyn!M24+WH!M24+'A-N Drive'!M33+VRE!M21</f>
        <v>193317.69927901874</v>
      </c>
      <c r="J122" s="486">
        <f>FT!N24+'Forest Glen'!N38+NC!N24+Rosslyn!N24+WH!N24+'A-N Drive'!N33+VRE!N21</f>
        <v>207769.1554754911</v>
      </c>
      <c r="K122" s="486">
        <f>FT!O24+'Forest Glen'!O38+NC!O24+Rosslyn!O24+WH!O24+'A-N Drive'!O33+VRE!O21</f>
        <v>210404.19954002832</v>
      </c>
      <c r="L122" s="486">
        <f>FT!P24+'Forest Glen'!P38+NC!P24+Rosslyn!P24+WH!P24+'A-N Drive'!P33+VRE!P21</f>
        <v>213066.01050821212</v>
      </c>
      <c r="M122" s="486">
        <f>FT!Q24+'Forest Glen'!Q38+NC!Q24+Rosslyn!Q24+WH!Q24+'A-N Drive'!Q33+VRE!Q21</f>
        <v>215756.04668376988</v>
      </c>
      <c r="N122" s="486">
        <f>FT!R24+'Forest Glen'!R38+NC!R24+Rosslyn!R24+WH!R24+'A-N Drive'!R33+VRE!R21</f>
        <v>218475.92654705828</v>
      </c>
      <c r="O122" s="486">
        <f>FT!S24+'Forest Glen'!S38+NC!S24+Rosslyn!S24+WH!S24+'A-N Drive'!S33+VRE!S21</f>
        <v>221227.4499041817</v>
      </c>
      <c r="P122" s="486">
        <f>FT!T24+'Forest Glen'!T38+NC!T24+Rosslyn!T24+WH!T24+'A-N Drive'!T33+VRE!T21</f>
        <v>224012.62190451953</v>
      </c>
      <c r="Q122" s="486">
        <f>FT!U24+'Forest Glen'!U38+NC!U24+Rosslyn!U24+WH!U24+'A-N Drive'!U33+VRE!U21</f>
        <v>226833.68031714502</v>
      </c>
      <c r="R122" s="486">
        <f>FT!V24+'Forest Glen'!V38+NC!V24+Rosslyn!V24+WH!V24+'A-N Drive'!V33+VRE!V21</f>
        <v>229693.12650980329</v>
      </c>
      <c r="S122" s="486">
        <f>FT!W24+'Forest Glen'!W38+NC!W24+Rosslyn!W24+WH!W24+'A-N Drive'!W33+VRE!W21</f>
        <v>232593.76063454663</v>
      </c>
      <c r="T122" s="486">
        <f>FT!X24+'Forest Glen'!X38+NC!X24+Rosslyn!X24+WH!X24+'A-N Drive'!X33+VRE!X21</f>
        <v>235770.52317417273</v>
      </c>
      <c r="U122" s="486">
        <f>FT!Y24+'Forest Glen'!Y38+NC!Y24+Rosslyn!Y24+WH!Y24+'A-N Drive'!Y33+VRE!Y21</f>
        <v>238955.07998730685</v>
      </c>
      <c r="V122" s="486">
        <f>FT!Z24+'Forest Glen'!Z38+NC!Z24+Rosslyn!Z24+WH!Z24+'A-N Drive'!Z33+VRE!Z21</f>
        <v>242191.24353454285</v>
      </c>
      <c r="W122" s="486">
        <f>FT!AA24+'Forest Glen'!AA38+NC!AA24+Rosslyn!AA24+WH!AA24+'A-N Drive'!AA33+VRE!AA21</f>
        <v>245483.46717414283</v>
      </c>
      <c r="X122" s="486">
        <f>FT!AB24+'Forest Glen'!AB38+NC!AB24+Rosslyn!AB24+WH!AB24+'A-N Drive'!AB33+VRE!AB21</f>
        <v>248836.76508666959</v>
      </c>
      <c r="Y122" s="486">
        <f>FT!AC24+'Forest Glen'!AC38+NC!AC24+Rosslyn!AC24+WH!AC24+'A-N Drive'!AC33+VRE!AC21</f>
        <v>252256.7878628069</v>
      </c>
    </row>
    <row r="123" spans="1:26" s="26" customFormat="1" ht="14.25" customHeight="1">
      <c r="A123" s="483" t="s">
        <v>610</v>
      </c>
      <c r="B123" s="484"/>
      <c r="C123" s="484"/>
      <c r="D123" s="484"/>
      <c r="E123" s="484"/>
      <c r="F123" s="484"/>
      <c r="G123" s="484"/>
      <c r="H123" s="484"/>
      <c r="I123" s="484"/>
      <c r="J123" s="484"/>
      <c r="K123" s="484"/>
      <c r="L123" s="484"/>
      <c r="M123" s="484"/>
      <c r="N123" s="484"/>
      <c r="O123" s="484"/>
      <c r="P123" s="484"/>
      <c r="Q123" s="484"/>
      <c r="R123" s="484"/>
      <c r="S123" s="484"/>
      <c r="T123" s="484"/>
      <c r="U123" s="484"/>
      <c r="V123" s="484"/>
      <c r="W123" s="484"/>
      <c r="X123" s="484"/>
      <c r="Y123" s="484"/>
    </row>
    <row r="124" spans="1:26" ht="14.25" customHeight="1">
      <c r="A124" s="473" t="s">
        <v>351</v>
      </c>
      <c r="B124" s="34">
        <f>FT!F153+FT!F155+FT!F159+FT!F161+'Forest Glen'!F256+'Forest Glen'!F258+'Forest Glen'!F250+'Forest Glen'!F252+NC!F152+NC!F154+NC!F158+NC!F160+Rosslyn!F151+Rosslyn!F153+Rosslyn!F157+Rosslyn!F159+WH!F146+WH!F148+WH!F152+WH!F154+'A-N Drive'!F214+'A-N Drive'!F216+'A-N Drive'!F220+'A-N Drive'!F222</f>
        <v>0</v>
      </c>
      <c r="C124">
        <f>FT!G153+FT!G155+FT!G159+FT!G161+'Forest Glen'!G256+'Forest Glen'!G258+'Forest Glen'!G250+'Forest Glen'!G252+NC!G152+NC!G154+NC!G158+NC!G160+Rosslyn!G151+Rosslyn!G153+Rosslyn!G157+Rosslyn!G159+WH!G146+WH!G148+WH!G152+WH!G154+'A-N Drive'!G214+'A-N Drive'!G216+'A-N Drive'!G220+'A-N Drive'!G222</f>
        <v>-0.58915274777895177</v>
      </c>
      <c r="D124">
        <f>FT!H153+FT!H155+FT!H159+FT!H161+'Forest Glen'!H256+'Forest Glen'!H258+'Forest Glen'!H250+'Forest Glen'!H252+NC!H152+NC!H154+NC!H158+NC!H160+Rosslyn!H151+Rosslyn!H153+Rosslyn!H157+Rosslyn!H159+WH!H146+WH!H148+WH!H152+WH!H154+'A-N Drive'!H214+'A-N Drive'!H216+'A-N Drive'!H220+'A-N Drive'!H222</f>
        <v>-2.8855274830770452</v>
      </c>
      <c r="E124">
        <f>FT!I153+FT!I155+FT!I159+FT!I161+'Forest Glen'!I256+'Forest Glen'!I258+'Forest Glen'!I250+'Forest Glen'!I252+NC!I152+NC!I154+NC!I158+NC!I160+Rosslyn!I151+Rosslyn!I153+Rosslyn!I157+Rosslyn!I159+WH!I146+WH!I148+WH!I152+WH!I154+'A-N Drive'!I214+'A-N Drive'!I216+'A-N Drive'!I220+'A-N Drive'!I222</f>
        <v>-2.8875636075879925</v>
      </c>
      <c r="F124">
        <f>FT!J153+FT!J155+FT!J159+FT!J161+'Forest Glen'!J256+'Forest Glen'!J258+'Forest Glen'!J250+'Forest Glen'!J252+NC!J152+NC!J154+NC!J158+NC!J160+Rosslyn!J151+Rosslyn!J153+Rosslyn!J157+Rosslyn!J159+WH!J146+WH!J148+WH!J152+WH!J154+'A-N Drive'!J214+'A-N Drive'!J216+'A-N Drive'!J220+'A-N Drive'!J222</f>
        <v>-3.512431547123251</v>
      </c>
      <c r="G124">
        <f>FT!K153+FT!K155+FT!K159+FT!K161+'Forest Glen'!K256+'Forest Glen'!K258+'Forest Glen'!K250+'Forest Glen'!K252+NC!K152+NC!K154+NC!K158+NC!K160+Rosslyn!K151+Rosslyn!K153+Rosslyn!K157+Rosslyn!K159+WH!K146+WH!K148+WH!K152+WH!K154+'A-N Drive'!K214+'A-N Drive'!K216+'A-N Drive'!K220+'A-N Drive'!K222</f>
        <v>-3.7497322823685408</v>
      </c>
      <c r="H124">
        <f>FT!L153+FT!L155+FT!L159+FT!L161+'Forest Glen'!L256+'Forest Glen'!L258+'Forest Glen'!L250+'Forest Glen'!L252+NC!L152+NC!L154+NC!L158+NC!L160+Rosslyn!L151+Rosslyn!L153+Rosslyn!L157+Rosslyn!L159+WH!L146+WH!L148+WH!L152+WH!L154+'A-N Drive'!L214+'A-N Drive'!L216+'A-N Drive'!L220+'A-N Drive'!L222</f>
        <v>-3.7789451436010557</v>
      </c>
      <c r="I124">
        <f>FT!M153+FT!M155+FT!M159+FT!M161+'Forest Glen'!M256+'Forest Glen'!M258+'Forest Glen'!M250+'Forest Glen'!M252+NC!M152+NC!M154+NC!M158+NC!M160+Rosslyn!M151+Rosslyn!M153+Rosslyn!M157+Rosslyn!M159+WH!M146+WH!M148+WH!M152+WH!M154+'A-N Drive'!M214+'A-N Drive'!M216+'A-N Drive'!M220+'A-N Drive'!M222</f>
        <v>-2.9592109742979495</v>
      </c>
      <c r="J124">
        <f>FT!N153+FT!N155+FT!N159+FT!N161+'Forest Glen'!N256+'Forest Glen'!N258+'Forest Glen'!N250+'Forest Glen'!N252+NC!N152+NC!N154+NC!N158+NC!N160+Rosslyn!N151+Rosslyn!N153+Rosslyn!N157+Rosslyn!N159+WH!N146+WH!N148+WH!N152+WH!N154+'A-N Drive'!N214+'A-N Drive'!N216+'A-N Drive'!N220+'A-N Drive'!N222</f>
        <v>-3.8459036613941251</v>
      </c>
      <c r="K124">
        <f>FT!O153+FT!O155+FT!O159+FT!O161+'Forest Glen'!O256+'Forest Glen'!O258+'Forest Glen'!O250+'Forest Glen'!O252+NC!O152+NC!O154+NC!O158+NC!O160+Rosslyn!O151+Rosslyn!O153+Rosslyn!O157+Rosslyn!O159+WH!O146+WH!O148+WH!O152+WH!O154+'A-N Drive'!O214+'A-N Drive'!O216+'A-N Drive'!O220+'A-N Drive'!O222</f>
        <v>-3.8836494893811491</v>
      </c>
      <c r="L124">
        <f>FT!P153+FT!P155+FT!P159+FT!P161+'Forest Glen'!P256+'Forest Glen'!P258+'Forest Glen'!P250+'Forest Glen'!P252+NC!P152+NC!P154+NC!P158+NC!P160+Rosslyn!P151+Rosslyn!P153+Rosslyn!P157+Rosslyn!P159+WH!P146+WH!P148+WH!P152+WH!P154+'A-N Drive'!P214+'A-N Drive'!P216+'A-N Drive'!P220+'A-N Drive'!P222</f>
        <v>-3.9214041044757497</v>
      </c>
      <c r="M124">
        <f>FT!Q153+FT!Q155+FT!Q159+FT!Q161+'Forest Glen'!Q256+'Forest Glen'!Q258+'Forest Glen'!Q250+'Forest Glen'!Q252+NC!Q152+NC!Q154+NC!Q158+NC!Q160+Rosslyn!Q151+Rosslyn!Q153+Rosslyn!Q157+Rosslyn!Q159+WH!Q146+WH!Q148+WH!Q152+WH!Q154+'A-N Drive'!Q214+'A-N Drive'!Q216+'A-N Drive'!Q220+'A-N Drive'!Q222</f>
        <v>-3.959167594549005</v>
      </c>
      <c r="N124">
        <f>FT!R153+FT!R155+FT!R159+FT!R161+'Forest Glen'!R256+'Forest Glen'!R258+'Forest Glen'!R250+'Forest Glen'!R252+NC!R152+NC!R154+NC!R158+NC!R160+Rosslyn!R151+Rosslyn!R153+Rosslyn!R157+Rosslyn!R159+WH!R146+WH!R148+WH!R152+WH!R154+'A-N Drive'!R214+'A-N Drive'!R216+'A-N Drive'!R220+'A-N Drive'!R222</f>
        <v>-3.996940048350698</v>
      </c>
      <c r="O124">
        <f>FT!S153+FT!S155+FT!S159+FT!S161+'Forest Glen'!S256+'Forest Glen'!S258+'Forest Glen'!S250+'Forest Glen'!S252+NC!S152+NC!S154+NC!S158+NC!S160+Rosslyn!S151+Rosslyn!S153+Rosslyn!S157+Rosslyn!S159+WH!S146+WH!S148+WH!S152+WH!S154+'A-N Drive'!S214+'A-N Drive'!S216+'A-N Drive'!S220+'A-N Drive'!S222</f>
        <v>-4.0347215555181162</v>
      </c>
      <c r="P124">
        <f>FT!T153+FT!T155+FT!T159+FT!T161+'Forest Glen'!T256+'Forest Glen'!T258+'Forest Glen'!T250+'Forest Glen'!T252+NC!T152+NC!T154+NC!T158+NC!T160+Rosslyn!T151+Rosslyn!T153+Rosslyn!T157+Rosslyn!T159+WH!T146+WH!T148+WH!T152+WH!T154+'A-N Drive'!T214+'A-N Drive'!T216+'A-N Drive'!T220+'A-N Drive'!T222</f>
        <v>-4.0725122065849151</v>
      </c>
      <c r="Q124">
        <f>FT!U153+FT!U155+FT!U159+FT!U161+'Forest Glen'!U256+'Forest Glen'!U258+'Forest Glen'!U250+'Forest Glen'!U252+NC!U152+NC!U154+NC!U158+NC!U160+Rosslyn!U151+Rosslyn!U153+Rosslyn!U157+Rosslyn!U159+WH!U146+WH!U148+WH!U152+WH!U154+'A-N Drive'!U214+'A-N Drive'!U216+'A-N Drive'!U220+'A-N Drive'!U222</f>
        <v>-4.1103120929900916</v>
      </c>
      <c r="R124">
        <f>FT!V153+FT!V155+FT!V159+FT!V161+'Forest Glen'!V256+'Forest Glen'!V258+'Forest Glen'!V250+'Forest Glen'!V252+NC!V152+NC!V154+NC!V158+NC!V160+Rosslyn!V151+Rosslyn!V153+Rosslyn!V157+Rosslyn!V159+WH!V146+WH!V148+WH!V152+WH!V154+'A-N Drive'!V214+'A-N Drive'!V216+'A-N Drive'!V220+'A-N Drive'!V222</f>
        <v>-4.1481213070870249</v>
      </c>
      <c r="S124">
        <f>FT!W153+FT!W155+FT!W159+FT!W161+'Forest Glen'!W256+'Forest Glen'!W258+'Forest Glen'!W250+'Forest Glen'!W252+NC!W152+NC!W154+NC!W158+NC!W160+Rosslyn!W151+Rosslyn!W153+Rosslyn!W157+Rosslyn!W159+WH!W146+WH!W148+WH!W152+WH!W154+'A-N Drive'!W214+'A-N Drive'!W216+'A-N Drive'!W220+'A-N Drive'!W222</f>
        <v>-4.1859399421526353</v>
      </c>
      <c r="T124">
        <f>FT!X153+FT!X155+FT!X159+FT!X161+'Forest Glen'!X256+'Forest Glen'!X258+'Forest Glen'!X250+'Forest Glen'!X252+NC!X152+NC!X154+NC!X158+NC!X160+Rosslyn!X151+Rosslyn!X153+Rosslyn!X157+Rosslyn!X159+WH!X146+WH!X148+WH!X152+WH!X154+'A-N Drive'!X214+'A-N Drive'!X216+'A-N Drive'!X220+'A-N Drive'!X222</f>
        <v>-4.2346970281756118</v>
      </c>
      <c r="U124">
        <f>FT!Y153+FT!Y155+FT!Y159+FT!Y161+'Forest Glen'!Y256+'Forest Glen'!Y258+'Forest Glen'!Y250+'Forest Glen'!Y252+NC!Y152+NC!Y154+NC!Y158+NC!Y160+Rosslyn!Y151+Rosslyn!Y153+Rosslyn!Y157+Rosslyn!Y159+WH!Y146+WH!Y148+WH!Y152+WH!Y154+'A-N Drive'!Y214+'A-N Drive'!Y216+'A-N Drive'!Y220+'A-N Drive'!Y222</f>
        <v>-4.2779902668960972</v>
      </c>
      <c r="V124">
        <f>FT!Z153+FT!Z155+FT!Z159+FT!Z161+'Forest Glen'!Z256+'Forest Glen'!Z258+'Forest Glen'!Z250+'Forest Glen'!Z252+NC!Z152+NC!Z154+NC!Z158+NC!Z160+Rosslyn!Z151+Rosslyn!Z153+Rosslyn!Z157+Rosslyn!Z159+WH!Z146+WH!Z148+WH!Z152+WH!Z154+'A-N Drive'!Z214+'A-N Drive'!Z216+'A-N Drive'!Z220+'A-N Drive'!Z222</f>
        <v>-4.3212932120500316</v>
      </c>
      <c r="W124">
        <f>FT!AA153+FT!AA155+FT!AA159+FT!AA161+'Forest Glen'!AA256+'Forest Glen'!AA258+'Forest Glen'!AA250+'Forest Glen'!AA252+NC!AA152+NC!AA154+NC!AA158+NC!AA160+Rosslyn!AA151+Rosslyn!AA153+Rosslyn!AA157+Rosslyn!AA159+WH!AA146+WH!AA148+WH!AA152+WH!AA154+'A-N Drive'!AA214+'A-N Drive'!AA216+'A-N Drive'!AA220+'A-N Drive'!AA222</f>
        <v>-4.3646059607017484</v>
      </c>
      <c r="X124">
        <f>FT!AB153+FT!AB155+FT!AB159+FT!AB161+'Forest Glen'!AB256+'Forest Glen'!AB258+'Forest Glen'!AB250+'Forest Glen'!AB252+NC!AB152+NC!AB154+NC!AB158+NC!AB160+Rosslyn!AB151+Rosslyn!AB153+Rosslyn!AB157+Rosslyn!AB159+WH!AB146+WH!AB148+WH!AB152+WH!AB154+'A-N Drive'!AB214+'A-N Drive'!AB216+'A-N Drive'!AB220+'A-N Drive'!AB222</f>
        <v>-4.407928610886227</v>
      </c>
      <c r="Y124">
        <f>FT!AC153+FT!AC155+FT!AC159+FT!AC161+'Forest Glen'!AC256+'Forest Glen'!AC258+'Forest Glen'!AC250+'Forest Glen'!AC252+NC!AC152+NC!AC154+NC!AC158+NC!AC160+Rosslyn!AC151+Rosslyn!AC153+Rosslyn!AC157+Rosslyn!AC159+WH!AC146+WH!AC148+WH!AC152+WH!AC154+'A-N Drive'!AC214+'A-N Drive'!AC216+'A-N Drive'!AC220+'A-N Drive'!AC222</f>
        <v>-4.4512612616187948</v>
      </c>
      <c r="Z124" s="495">
        <f>SUM(B124:Y124)</f>
        <v>-86.579012128646838</v>
      </c>
    </row>
    <row r="125" spans="1:26" ht="14.25" customHeight="1">
      <c r="A125" s="473" t="s">
        <v>261</v>
      </c>
      <c r="B125">
        <f>FT!F166+FT!F168+FT!F172+FT!F174+'Forest Glen'!F264+'Forest Glen'!F266+NC!F165+NC!F167+NC!F171+NC!F173+Rosslyn!F164+Rosslyn!F166+Rosslyn!F170+Rosslyn!F172+WH!F159+WH!F161+WH!F165+WH!F167+'A-N Drive'!F227+'A-N Drive'!F229+'A-N Drive'!F233+'A-N Drive'!F235+VRE!F105+VRE!F107+VRE!F111+VRE!F113</f>
        <v>0</v>
      </c>
      <c r="C125">
        <f>FT!G166+FT!G168+FT!G172+FT!G174+'Forest Glen'!G264+'Forest Glen'!G266+NC!G165+NC!G167+NC!G171+NC!G173+Rosslyn!G164+Rosslyn!G166+Rosslyn!G170+Rosslyn!G172+WH!G159+WH!G161+WH!G165+WH!G167+'A-N Drive'!G227+'A-N Drive'!G229+'A-N Drive'!G233+'A-N Drive'!G235+VRE!G105+VRE!G107+VRE!G111+VRE!G113</f>
        <v>-0.14530823525879666</v>
      </c>
      <c r="D125">
        <f>FT!H166+FT!H168+FT!H172+FT!H174+'Forest Glen'!H264+'Forest Glen'!H266+NC!H165+NC!H167+NC!H171+NC!H173+Rosslyn!H164+Rosslyn!H166+Rosslyn!H170+Rosslyn!H172+WH!H159+WH!H161+WH!H165+WH!H167+'A-N Drive'!H227+'A-N Drive'!H229+'A-N Drive'!H233+'A-N Drive'!H235+VRE!H105+VRE!H107+VRE!H111+VRE!H113</f>
        <v>-1.1622383923467958</v>
      </c>
      <c r="E125">
        <f>FT!I166+FT!I168+FT!I172+FT!I174+'Forest Glen'!I264+'Forest Glen'!I266+NC!I165+NC!I167+NC!I171+NC!I173+Rosslyn!I164+Rosslyn!I166+Rosslyn!I170+Rosslyn!I172+WH!I159+WH!I161+WH!I165+WH!I167+'A-N Drive'!I227+'A-N Drive'!I229+'A-N Drive'!I233+'A-N Drive'!I235+VRE!I105+VRE!I107+VRE!I111+VRE!I113</f>
        <v>-1.1799113107588908</v>
      </c>
      <c r="F125">
        <f>FT!J166+FT!J168+FT!J172+FT!J174+'Forest Glen'!J264+'Forest Glen'!J266+NC!J165+NC!J167+NC!J171+NC!J173+Rosslyn!J164+Rosslyn!J166+Rosslyn!J170+Rosslyn!J172+WH!J159+WH!J161+WH!J165+WH!J167+'A-N Drive'!J227+'A-N Drive'!J229+'A-N Drive'!J233+'A-N Drive'!J235+VRE!J105+VRE!J107+VRE!J111+VRE!J113</f>
        <v>-0.62186151363974163</v>
      </c>
      <c r="G125">
        <f>FT!K166+FT!K168+FT!K172+FT!K174+'Forest Glen'!K264+'Forest Glen'!K266+NC!K165+NC!K167+NC!K171+NC!K173+Rosslyn!K164+Rosslyn!K166+Rosslyn!K170+Rosslyn!K172+WH!K159+WH!K161+WH!K165+WH!K167+'A-N Drive'!K227+'A-N Drive'!K229+'A-N Drive'!K233+'A-N Drive'!K235+VRE!K105+VRE!K107+VRE!K111+VRE!K113</f>
        <v>-0.42919588840793776</v>
      </c>
      <c r="H125">
        <f>FT!L166+FT!L168+FT!L172+FT!L174+'Forest Glen'!L264+'Forest Glen'!L266+NC!L165+NC!L167+NC!L171+NC!L173+Rosslyn!L164+Rosslyn!L166+Rosslyn!L170+Rosslyn!L172+WH!L159+WH!L161+WH!L165+WH!L167+'A-N Drive'!L227+'A-N Drive'!L229+'A-N Drive'!L233+'A-N Drive'!L235+VRE!L105+VRE!L107+VRE!L111+VRE!L113</f>
        <v>-0.43902720127834455</v>
      </c>
      <c r="I125">
        <f>FT!M166+FT!M168+FT!M172+FT!M174+'Forest Glen'!M264+'Forest Glen'!M266+NC!M165+NC!M167+NC!M171+NC!M173+Rosslyn!M164+Rosslyn!M166+Rosslyn!M170+Rosslyn!M172+WH!M159+WH!M161+WH!M165+WH!M167+'A-N Drive'!M227+'A-N Drive'!M229+'A-N Drive'!M233+'A-N Drive'!M235+VRE!M105+VRE!M107+VRE!M111+VRE!M113</f>
        <v>-0.45377157040966754</v>
      </c>
      <c r="J125">
        <f>FT!N166+FT!N168+FT!N172+FT!N174+'Forest Glen'!N264+'Forest Glen'!N266+NC!N165+NC!N167+NC!N171+NC!N173+Rosslyn!N164+Rosslyn!N166+Rosslyn!N170+Rosslyn!N172+WH!N159+WH!N161+WH!N165+WH!N167+'A-N Drive'!N227+'A-N Drive'!N229+'A-N Drive'!N233+'A-N Drive'!N235+VRE!N105+VRE!N107+VRE!N111+VRE!N113</f>
        <v>-0.46893315467484231</v>
      </c>
      <c r="K125">
        <f>FT!O166+FT!O168+FT!O172+FT!O174+'Forest Glen'!O264+'Forest Glen'!O266+NC!O165+NC!O167+NC!O171+NC!O173+Rosslyn!O164+Rosslyn!O166+Rosslyn!O170+Rosslyn!O172+WH!O159+WH!O161+WH!O165+WH!O167+'A-N Drive'!O227+'A-N Drive'!O229+'A-N Drive'!O233+'A-N Drive'!O235+VRE!O105+VRE!O107+VRE!O111+VRE!O113</f>
        <v>-0.48905789534434646</v>
      </c>
      <c r="L125">
        <f>FT!P166+FT!P168+FT!P172+FT!P174+'Forest Glen'!P264+'Forest Glen'!P266+NC!P165+NC!P167+NC!P171+NC!P173+Rosslyn!P164+Rosslyn!P166+Rosslyn!P170+Rosslyn!P172+WH!P159+WH!P161+WH!P165+WH!P167+'A-N Drive'!P227+'A-N Drive'!P229+'A-N Drive'!P233+'A-N Drive'!P235+VRE!P105+VRE!P107+VRE!P111+VRE!P113</f>
        <v>-0.50926642735132888</v>
      </c>
      <c r="M125">
        <f>FT!Q166+FT!Q168+FT!Q172+FT!Q174+'Forest Glen'!Q264+'Forest Glen'!Q266+NC!Q165+NC!Q167+NC!Q171+NC!Q173+Rosslyn!Q164+Rosslyn!Q166+Rosslyn!Q170+Rosslyn!Q172+WH!Q159+WH!Q161+WH!Q165+WH!Q167+'A-N Drive'!Q227+'A-N Drive'!Q229+'A-N Drive'!Q233+'A-N Drive'!Q235+VRE!Q105+VRE!Q107+VRE!Q111+VRE!Q113</f>
        <v>-0.52959394101063173</v>
      </c>
      <c r="N125">
        <f>FT!R166+FT!R168+FT!R172+FT!R174+'Forest Glen'!R264+'Forest Glen'!R266+NC!R165+NC!R167+NC!R171+NC!R173+Rosslyn!R164+Rosslyn!R166+Rosslyn!R170+Rosslyn!R172+WH!R159+WH!R161+WH!R165+WH!R167+'A-N Drive'!R227+'A-N Drive'!R229+'A-N Drive'!R233+'A-N Drive'!R235+VRE!R105+VRE!R107+VRE!R111+VRE!R113</f>
        <v>-0.55008071903600775</v>
      </c>
      <c r="O125">
        <f>FT!S166+FT!S168+FT!S172+FT!S174+'Forest Glen'!S264+'Forest Glen'!S266+NC!S165+NC!S167+NC!S171+NC!S173+Rosslyn!S164+Rosslyn!S166+Rosslyn!S170+Rosslyn!S172+WH!S159+WH!S161+WH!S165+WH!S167+'A-N Drive'!S227+'A-N Drive'!S229+'A-N Drive'!S233+'A-N Drive'!S235+VRE!S105+VRE!S107+VRE!S111+VRE!S113</f>
        <v>-0.57077283678567992</v>
      </c>
      <c r="P125">
        <f>FT!T166+FT!T168+FT!T172+FT!T174+'Forest Glen'!T264+'Forest Glen'!T266+NC!T165+NC!T167+NC!T171+NC!T173+Rosslyn!T164+Rosslyn!T166+Rosslyn!T170+Rosslyn!T172+WH!T159+WH!T161+WH!T165+WH!T167+'A-N Drive'!T227+'A-N Drive'!T229+'A-N Drive'!T233+'A-N Drive'!T235+VRE!T105+VRE!T107+VRE!T111+VRE!T113</f>
        <v>-0.59172295835397537</v>
      </c>
      <c r="Q125">
        <f>FT!U166+FT!U168+FT!U172+FT!U174+'Forest Glen'!U264+'Forest Glen'!U266+NC!U165+NC!U167+NC!U171+NC!U173+Rosslyn!U164+Rosslyn!U166+Rosslyn!U170+Rosslyn!U172+WH!U159+WH!U161+WH!U165+WH!U167+'A-N Drive'!U227+'A-N Drive'!U229+'A-N Drive'!U233+'A-N Drive'!U235+VRE!U105+VRE!U107+VRE!U111+VRE!U113</f>
        <v>-0.61299124162164209</v>
      </c>
      <c r="R125">
        <f>FT!V166+FT!V168+FT!V172+FT!V174+'Forest Glen'!V264+'Forest Glen'!V266+NC!V165+NC!V167+NC!V171+NC!V173+Rosslyn!V164+Rosslyn!V166+Rosslyn!V170+Rosslyn!V172+WH!V159+WH!V161+WH!V165+WH!V167+'A-N Drive'!V227+'A-N Drive'!V229+'A-N Drive'!V233+'A-N Drive'!V235+VRE!V105+VRE!V107+VRE!V111+VRE!V113</f>
        <v>-0.63464636717124978</v>
      </c>
      <c r="S125">
        <f>FT!W166+FT!W168+FT!W172+FT!W174+'Forest Glen'!W264+'Forest Glen'!W266+NC!W165+NC!W167+NC!W171+NC!W173+Rosslyn!W164+Rosslyn!W166+Rosslyn!W170+Rosslyn!W172+WH!W159+WH!W161+WH!W165+WH!W167+'A-N Drive'!W227+'A-N Drive'!W229+'A-N Drive'!W233+'A-N Drive'!W235+VRE!W105+VRE!W107+VRE!W111+VRE!W113</f>
        <v>-0.65676670801332848</v>
      </c>
      <c r="T125">
        <f>FT!X166+FT!X168+FT!X172+FT!X174+'Forest Glen'!X264+'Forest Glen'!X266+NC!X165+NC!X167+NC!X171+NC!X173+Rosslyn!X164+Rosslyn!X166+Rosslyn!X170+Rosslyn!X172+WH!X159+WH!X161+WH!X165+WH!X167+'A-N Drive'!X227+'A-N Drive'!X229+'A-N Drive'!X233+'A-N Drive'!X235+VRE!X105+VRE!X107+VRE!X111+VRE!X113</f>
        <v>-0.68562591977538712</v>
      </c>
      <c r="U125">
        <f>FT!Y166+FT!Y168+FT!Y172+FT!Y174+'Forest Glen'!Y264+'Forest Glen'!Y266+NC!Y165+NC!Y167+NC!Y171+NC!Y173+Rosslyn!Y164+Rosslyn!Y166+Rosslyn!Y170+Rosslyn!Y172+WH!Y159+WH!Y161+WH!Y165+WH!Y167+'A-N Drive'!Y227+'A-N Drive'!Y229+'A-N Drive'!Y233+'A-N Drive'!Y235+VRE!Y105+VRE!Y107+VRE!Y111+VRE!Y113</f>
        <v>-0.71525387452668432</v>
      </c>
      <c r="V125">
        <f>FT!Z166+FT!Z168+FT!Z172+FT!Z174+'Forest Glen'!Z264+'Forest Glen'!Z266+NC!Z165+NC!Z167+NC!Z171+NC!Z173+Rosslyn!Z164+Rosslyn!Z166+Rosslyn!Z170+Rosslyn!Z172+WH!Z159+WH!Z161+WH!Z165+WH!Z167+'A-N Drive'!Z227+'A-N Drive'!Z229+'A-N Drive'!Z233+'A-N Drive'!Z235+VRE!Z105+VRE!Z107+VRE!Z111+VRE!Z113</f>
        <v>-0.7456545509395025</v>
      </c>
      <c r="W125">
        <f>FT!AA166+FT!AA168+FT!AA172+FT!AA174+'Forest Glen'!AA264+'Forest Glen'!AA266+NC!AA165+NC!AA167+NC!AA171+NC!AA173+Rosslyn!AA164+Rosslyn!AA166+Rosslyn!AA170+Rosslyn!AA172+WH!AA159+WH!AA161+WH!AA165+WH!AA167+'A-N Drive'!AA227+'A-N Drive'!AA229+'A-N Drive'!AA233+'A-N Drive'!AA235+VRE!AA105+VRE!AA107+VRE!AA111+VRE!AA113</f>
        <v>-0.77696033735947267</v>
      </c>
      <c r="X125">
        <f>FT!AB166+FT!AB168+FT!AB172+FT!AB174+'Forest Glen'!AB264+'Forest Glen'!AB266+NC!AB165+NC!AB167+NC!AB171+NC!AB173+Rosslyn!AB164+Rosslyn!AB166+Rosslyn!AB170+Rosslyn!AB172+WH!AB159+WH!AB161+WH!AB165+WH!AB167+'A-N Drive'!AB227+'A-N Drive'!AB229+'A-N Drive'!AB233+'A-N Drive'!AB235+VRE!AB105+VRE!AB107+VRE!AB111+VRE!AB113</f>
        <v>-0.80932204974325883</v>
      </c>
      <c r="Y125">
        <f>FT!AC166+FT!AC168+FT!AC172+FT!AC174+'Forest Glen'!AC264+'Forest Glen'!AC266+NC!AC165+NC!AC167+NC!AC171+NC!AC173+Rosslyn!AC164+Rosslyn!AC166+Rosslyn!AC170+Rosslyn!AC172+WH!AC159+WH!AC161+WH!AC165+WH!AC167+'A-N Drive'!AC227+'A-N Drive'!AC229+'A-N Drive'!AC233+'A-N Drive'!AC235+VRE!AC105+VRE!AC107+VRE!AC111+VRE!AC113</f>
        <v>-0.84291145672629286</v>
      </c>
      <c r="Z125" s="495">
        <f>SUM(B125:Y125)</f>
        <v>-14.620874550533804</v>
      </c>
    </row>
    <row r="126" spans="1:26" ht="14.25" customHeight="1">
      <c r="A126" s="473" t="s">
        <v>609</v>
      </c>
      <c r="B126">
        <f>FT!F178+FT!F180+'Forest Glen'!F276+'Forest Glen'!F278+NC!F177+NC!F179+Rosslyn!F176+Rosslyn!F178+WH!F171+WH!F173+'A-N Drive'!F239+'A-N Drive'!F241+VRE!F117+VRE!F119</f>
        <v>0</v>
      </c>
      <c r="C126">
        <f>FT!G178+FT!G180+'Forest Glen'!G276+'Forest Glen'!G278+NC!G177+NC!G179+Rosslyn!G176+Rosslyn!G178+WH!G171+WH!G173+'A-N Drive'!G239+'A-N Drive'!G241+VRE!G117+VRE!G119</f>
        <v>-0.40810397503461587</v>
      </c>
      <c r="D126">
        <f>FT!H178+FT!H180+'Forest Glen'!H276+'Forest Glen'!H278+NC!H177+NC!H179+Rosslyn!H176+Rosslyn!H178+WH!H171+WH!H173+'A-N Drive'!H239+'A-N Drive'!H241+VRE!H117+VRE!H119</f>
        <v>-0.84143221106038901</v>
      </c>
      <c r="E126">
        <f>FT!I178+FT!I180+'Forest Glen'!I276+'Forest Glen'!I278+NC!I177+NC!I179+Rosslyn!I176+Rosslyn!I178+WH!I171+WH!I173+'A-N Drive'!I239+'A-N Drive'!I241+VRE!I117+VRE!I119</f>
        <v>-0.85060490399558719</v>
      </c>
      <c r="F126">
        <f>FT!J178+FT!J180+'Forest Glen'!J276+'Forest Glen'!J278+NC!J177+NC!J179+Rosslyn!J176+Rosslyn!J178+WH!J171+WH!J173+'A-N Drive'!J239+'A-N Drive'!J241+VRE!J117+VRE!J119</f>
        <v>-1.0166676913306938</v>
      </c>
      <c r="G126">
        <f>FT!K178+FT!K180+'Forest Glen'!K276+'Forest Glen'!K278+NC!K177+NC!K179+Rosslyn!K176+Rosslyn!K178+WH!K171+WH!K173+'A-N Drive'!K239+'A-N Drive'!K241+VRE!K117+VRE!K119</f>
        <v>-1.0840815111784754</v>
      </c>
      <c r="H126">
        <f>FT!L178+FT!L180+'Forest Glen'!L276+'Forest Glen'!L278+NC!L177+NC!L179+Rosslyn!L176+Rosslyn!L178+WH!L171+WH!L173+'A-N Drive'!L239+'A-N Drive'!L241+VRE!L117+VRE!L119</f>
        <v>-1.0975168698165632</v>
      </c>
      <c r="I126">
        <f>FT!M178+FT!M180+'Forest Glen'!M276+'Forest Glen'!M278+NC!M177+NC!M179+Rosslyn!M176+Rosslyn!M178+WH!M171+WH!M173+'A-N Drive'!M239+'A-N Drive'!M241+VRE!M117+VRE!M119</f>
        <v>-1.0304345484088584</v>
      </c>
      <c r="J126">
        <f>FT!N178+FT!N180+'Forest Glen'!N276+'Forest Glen'!N278+NC!N177+NC!N179+Rosslyn!N176+Rosslyn!N178+WH!N171+WH!N173+'A-N Drive'!N239+'A-N Drive'!N241+VRE!N117+VRE!N119</f>
        <v>-1.125822646720801</v>
      </c>
      <c r="K126">
        <f>FT!O178+FT!O180+'Forest Glen'!O276+'Forest Glen'!O278+NC!O177+NC!O179+Rosslyn!O176+Rosslyn!O178+WH!O171+WH!O173+'A-N Drive'!O239+'A-N Drive'!O241+VRE!O117+VRE!O119</f>
        <v>-1.1407057906635452</v>
      </c>
      <c r="L126">
        <f>FT!P178+FT!P180+'Forest Glen'!P276+'Forest Glen'!P278+NC!P177+NC!P179+Rosslyn!P176+Rosslyn!P178+WH!P171+WH!P173+'A-N Drive'!P239+'A-N Drive'!P241+VRE!P117+VRE!P119</f>
        <v>-1.1557492822926674</v>
      </c>
      <c r="M126">
        <f>FT!Q178+FT!Q180+'Forest Glen'!Q276+'Forest Glen'!Q278+NC!Q177+NC!Q179+Rosslyn!Q176+Rosslyn!Q178+WH!Q171+WH!Q173+'A-N Drive'!Q239+'A-N Drive'!Q241+VRE!Q117+VRE!Q119</f>
        <v>-1.1709612664483864</v>
      </c>
      <c r="N126">
        <f>FT!R178+FT!R180+'Forest Glen'!R276+'Forest Glen'!R278+NC!R177+NC!R179+Rosslyn!R176+Rosslyn!R178+WH!R171+WH!R173+'A-N Drive'!R239+'A-N Drive'!R241+VRE!R117+VRE!R119</f>
        <v>-1.1863507743924435</v>
      </c>
      <c r="O126">
        <f>FT!S178+FT!S180+'Forest Glen'!S276+'Forest Glen'!S278+NC!S177+NC!S179+Rosslyn!S176+Rosslyn!S178+WH!S171+WH!S173+'A-N Drive'!S239+'A-N Drive'!S241+VRE!S117+VRE!S119</f>
        <v>-1.2019278409949372</v>
      </c>
      <c r="P126">
        <f>FT!T178+FT!T180+'Forest Glen'!T276+'Forest Glen'!T278+NC!T177+NC!T179+Rosslyn!T176+Rosslyn!T178+WH!T171+WH!T173+'A-N Drive'!T239+'A-N Drive'!T241+VRE!T117+VRE!T119</f>
        <v>-1.217703637875599</v>
      </c>
      <c r="Q126">
        <f>FT!U178+FT!U180+'Forest Glen'!U276+'Forest Glen'!U278+NC!U177+NC!U179+Rosslyn!U176+Rosslyn!U178+WH!U171+WH!U173+'A-N Drive'!U239+'A-N Drive'!U241+VRE!U117+VRE!U119</f>
        <v>-1.2336906246806048</v>
      </c>
      <c r="R126">
        <f>FT!V178+FT!V180+'Forest Glen'!V276+'Forest Glen'!V278+NC!V177+NC!V179+Rosslyn!V176+Rosslyn!V178+WH!V171+WH!V173+'A-N Drive'!V239+'A-N Drive'!V241+VRE!V117+VRE!V119</f>
        <v>-1.2499027209743363</v>
      </c>
      <c r="S126">
        <f>FT!W178+FT!W180+'Forest Glen'!W276+'Forest Glen'!W278+NC!W177+NC!W179+Rosslyn!W176+Rosslyn!W178+WH!W171+WH!W173+'A-N Drive'!W239+'A-N Drive'!W241+VRE!W117+VRE!W119</f>
        <v>-1.2663555015646835</v>
      </c>
      <c r="T126">
        <f>FT!X178+FT!X180+'Forest Glen'!X276+'Forest Glen'!X278+NC!X177+NC!X179+Rosslyn!X176+Rosslyn!X178+WH!X171+WH!X173+'A-N Drive'!X239+'A-N Drive'!X241+VRE!X117+VRE!X119</f>
        <v>-1.2843292835394229</v>
      </c>
      <c r="U126">
        <f>FT!Y178+FT!Y180+'Forest Glen'!Y276+'Forest Glen'!Y278+NC!Y177+NC!Y179+Rosslyn!Y176+Rosslyn!Y178+WH!Y171+WH!Y173+'A-N Drive'!Y239+'A-N Drive'!Y241+VRE!Y117+VRE!Y119</f>
        <v>-1.3023635006200658</v>
      </c>
      <c r="V126">
        <f>FT!Z178+FT!Z180+'Forest Glen'!Z276+'Forest Glen'!Z278+NC!Z177+NC!Z179+Rosslyn!Z176+Rosslyn!Z178+WH!Z171+WH!Z173+'A-N Drive'!Z239+'A-N Drive'!Z241+VRE!Z117+VRE!Z119</f>
        <v>-1.3206974330528745</v>
      </c>
      <c r="W126">
        <f>FT!AA178+FT!AA180+'Forest Glen'!AA276+'Forest Glen'!AA278+NC!AA177+NC!AA179+Rosslyn!AA176+Rosslyn!AA178+WH!AA171+WH!AA173+'A-N Drive'!AA239+'A-N Drive'!AA241+VRE!AA117+VRE!AA119</f>
        <v>-1.3393558203202021</v>
      </c>
      <c r="X126">
        <f>FT!AB178+FT!AB180+'Forest Glen'!AB276+'Forest Glen'!AB278+NC!AB177+NC!AB179+Rosslyn!AB176+Rosslyn!AB178+WH!AB171+WH!AB173+'A-N Drive'!AB239+'A-N Drive'!AB241+VRE!AB117+VRE!AB119</f>
        <v>-1.3583665140800267</v>
      </c>
      <c r="Y126">
        <f>FT!AC178+FT!AC180+'Forest Glen'!AC276+'Forest Glen'!AC278+NC!AC177+NC!AC179+Rosslyn!AC176+Rosslyn!AC178+WH!AC171+WH!AC173+'A-N Drive'!AC239+'A-N Drive'!AC241+VRE!AC117+VRE!AC119</f>
        <v>-1.3777608989983272</v>
      </c>
      <c r="Z126" s="495">
        <f>SUM(B126:Y126)</f>
        <v>-26.260885248044108</v>
      </c>
    </row>
    <row r="127" spans="1:26">
      <c r="B127" s="34"/>
    </row>
  </sheetData>
  <phoneticPr fontId="3" type="noConversion"/>
  <pageMargins left="0.75" right="0.75" top="1" bottom="1" header="0.5" footer="0.5"/>
  <headerFooter alignWithMargins="0"/>
  <rowBreaks count="1" manualBreakCount="1">
    <brk id="47" max="16383" man="1"/>
  </rowBreaks>
  <colBreaks count="1" manualBreakCount="1">
    <brk id="10" max="125" man="1"/>
  </colBreaks>
</worksheet>
</file>

<file path=xl/worksheets/sheet2.xml><?xml version="1.0" encoding="utf-8"?>
<worksheet xmlns="http://schemas.openxmlformats.org/spreadsheetml/2006/main" xmlns:r="http://schemas.openxmlformats.org/officeDocument/2006/relationships">
  <dimension ref="A1:BA257"/>
  <sheetViews>
    <sheetView topLeftCell="A70" zoomScale="75" zoomScaleNormal="75" workbookViewId="0">
      <selection activeCell="A108" sqref="A108"/>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35" customWidth="1"/>
    <col min="33" max="33" width="14.28515625" customWidth="1"/>
    <col min="34" max="34" width="12.140625" bestFit="1" customWidth="1"/>
    <col min="35" max="35" width="11.140625" bestFit="1" customWidth="1"/>
  </cols>
  <sheetData>
    <row r="1" spans="1:33"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3"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334"/>
    </row>
    <row r="3" spans="1:33">
      <c r="A3" s="69"/>
      <c r="B3" s="69"/>
      <c r="D3" s="206"/>
      <c r="E3" s="215"/>
      <c r="AC3" s="261"/>
    </row>
    <row r="4" spans="1:33">
      <c r="A4" s="41"/>
      <c r="B4" s="41"/>
      <c r="C4" s="45"/>
      <c r="D4" s="207"/>
      <c r="E4" s="215"/>
      <c r="AC4" s="261"/>
    </row>
    <row r="5" spans="1:33">
      <c r="A5" s="44" t="s">
        <v>218</v>
      </c>
      <c r="B5" s="44"/>
      <c r="C5" s="55" t="s">
        <v>389</v>
      </c>
      <c r="D5" s="207"/>
      <c r="E5" s="215"/>
      <c r="F5" s="292"/>
      <c r="G5" s="292"/>
      <c r="H5" s="292"/>
      <c r="I5" s="292"/>
      <c r="J5" s="292"/>
      <c r="K5" s="292"/>
      <c r="L5" s="292"/>
      <c r="M5" s="292"/>
      <c r="N5" s="292"/>
      <c r="O5" s="292"/>
      <c r="P5" s="292"/>
      <c r="Q5" s="292"/>
      <c r="R5" s="292"/>
      <c r="S5" s="292"/>
      <c r="T5" s="292"/>
      <c r="U5" s="292"/>
      <c r="V5" s="292"/>
      <c r="W5" s="292"/>
      <c r="X5" s="292"/>
      <c r="Y5" s="292"/>
      <c r="Z5" s="292"/>
      <c r="AA5" s="292"/>
      <c r="AB5" s="292"/>
      <c r="AC5" s="383"/>
      <c r="AD5" s="336"/>
    </row>
    <row r="6" spans="1:33">
      <c r="A6" s="44"/>
      <c r="B6" s="44"/>
      <c r="C6" s="55" t="s">
        <v>388</v>
      </c>
      <c r="D6" s="207"/>
      <c r="E6" s="215"/>
      <c r="F6" s="292"/>
      <c r="G6" s="292">
        <v>-1733836.4850000001</v>
      </c>
      <c r="H6" s="292">
        <v>-2437213.5150000001</v>
      </c>
      <c r="I6" s="292"/>
      <c r="K6" s="292"/>
      <c r="L6" s="292"/>
      <c r="M6" s="292"/>
      <c r="N6" s="292"/>
      <c r="O6" s="292"/>
      <c r="P6" s="292"/>
      <c r="Q6" s="292"/>
      <c r="R6" s="292"/>
      <c r="S6" s="292"/>
      <c r="T6" s="292"/>
      <c r="U6" s="292"/>
      <c r="V6" s="292"/>
      <c r="W6" s="292"/>
      <c r="X6" s="292"/>
      <c r="Y6" s="292"/>
      <c r="Z6" s="292"/>
      <c r="AA6" s="292"/>
      <c r="AB6" s="292"/>
      <c r="AC6" s="383"/>
      <c r="AD6" s="336"/>
    </row>
    <row r="7" spans="1:33"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37"/>
    </row>
    <row r="8" spans="1:33" s="53" customFormat="1" ht="12">
      <c r="A8" s="58" t="s">
        <v>219</v>
      </c>
      <c r="B8" s="58"/>
      <c r="D8" s="209"/>
      <c r="E8" s="216"/>
      <c r="H8" s="59"/>
      <c r="I8" s="59"/>
      <c r="J8" s="59"/>
      <c r="K8" s="59"/>
      <c r="L8" s="59"/>
      <c r="M8" s="59"/>
      <c r="N8" s="59"/>
      <c r="O8" s="59"/>
      <c r="P8" s="59"/>
      <c r="Q8" s="59"/>
      <c r="R8" s="59"/>
      <c r="S8" s="59"/>
      <c r="T8" s="59"/>
      <c r="U8" s="59"/>
      <c r="V8" s="59"/>
      <c r="W8" s="59"/>
      <c r="X8" s="59"/>
      <c r="Y8" s="59"/>
      <c r="AC8" s="263"/>
      <c r="AD8" s="338"/>
    </row>
    <row r="9" spans="1:33" s="53" customFormat="1" ht="12">
      <c r="A9" s="58"/>
      <c r="B9" s="5" t="s">
        <v>351</v>
      </c>
      <c r="D9" s="209"/>
      <c r="E9" s="216"/>
      <c r="H9" s="380"/>
      <c r="AC9" s="263"/>
      <c r="AD9" s="338"/>
    </row>
    <row r="10" spans="1:33" s="53" customFormat="1" ht="12">
      <c r="A10" s="58"/>
      <c r="B10" s="70" t="s">
        <v>447</v>
      </c>
      <c r="C10" s="70" t="s">
        <v>350</v>
      </c>
      <c r="D10" s="209"/>
      <c r="E10" s="216"/>
      <c r="F10" s="59">
        <f>'FT Users'!C5</f>
        <v>0</v>
      </c>
      <c r="G10" s="59">
        <f>'FT Users'!D5</f>
        <v>375391.07940254977</v>
      </c>
      <c r="H10" s="59">
        <f>'FT Users'!E5</f>
        <v>758594.86429890129</v>
      </c>
      <c r="I10" s="59">
        <f>'FT Users'!F5</f>
        <v>766407.56979270279</v>
      </c>
      <c r="J10" s="59">
        <f>'FT Users'!G5</f>
        <v>774220.27528650477</v>
      </c>
      <c r="K10" s="59">
        <f>'FT Users'!H5</f>
        <v>782032.98078030651</v>
      </c>
      <c r="L10" s="59">
        <f>'FT Users'!I5</f>
        <v>789845.68627410836</v>
      </c>
      <c r="M10" s="59">
        <f>'FT Users'!J5</f>
        <v>797658.39176790998</v>
      </c>
      <c r="N10" s="59">
        <f>'FT Users'!K5</f>
        <v>800088.00043904327</v>
      </c>
      <c r="O10" s="59">
        <f>'FT Users'!L5</f>
        <v>802517.60911017656</v>
      </c>
      <c r="P10" s="59">
        <f>'FT Users'!M5</f>
        <v>804947.21778130974</v>
      </c>
      <c r="Q10" s="59">
        <f>'FT Users'!N5</f>
        <v>807376.82645244314</v>
      </c>
      <c r="R10" s="59">
        <f>'FT Users'!O5</f>
        <v>809806.43512357632</v>
      </c>
      <c r="S10" s="59">
        <f>'FT Users'!P5</f>
        <v>812236.04379470961</v>
      </c>
      <c r="T10" s="59">
        <f>'FT Users'!Q5</f>
        <v>814665.6524658429</v>
      </c>
      <c r="U10" s="59">
        <f>'FT Users'!R5</f>
        <v>817095.26113697619</v>
      </c>
      <c r="V10" s="59">
        <f>'FT Users'!S5</f>
        <v>819524.86980810936</v>
      </c>
      <c r="W10" s="59">
        <f>'FT Users'!T5</f>
        <v>821954.47847924277</v>
      </c>
      <c r="X10" s="59">
        <f>'FT Users'!U5</f>
        <v>824458.54079310247</v>
      </c>
      <c r="Y10" s="59">
        <f>'FT Users'!V5</f>
        <v>826962.60310696228</v>
      </c>
      <c r="Z10" s="59">
        <f>'FT Users'!W5</f>
        <v>829466.66542082222</v>
      </c>
      <c r="AA10" s="59">
        <f>'FT Users'!X5</f>
        <v>831970.72773468203</v>
      </c>
      <c r="AB10" s="59">
        <f>'FT Users'!Y5</f>
        <v>834474.79004854185</v>
      </c>
      <c r="AC10" s="264">
        <f>'FT Users'!Z5</f>
        <v>836978.85236240155</v>
      </c>
      <c r="AD10" s="339">
        <f t="shared" ref="AD10:AD55" si="0">SUM(F10:AC10)</f>
        <v>18138675.421660926</v>
      </c>
    </row>
    <row r="11" spans="1:33" s="53" customFormat="1" ht="12">
      <c r="A11" s="58"/>
      <c r="B11" s="70" t="s">
        <v>446</v>
      </c>
      <c r="C11" s="54" t="s">
        <v>415</v>
      </c>
      <c r="D11" s="209"/>
      <c r="E11" s="216"/>
      <c r="F11" s="59">
        <f>'FT Users'!C6</f>
        <v>0</v>
      </c>
      <c r="G11" s="59">
        <f>'FT Users'!D6</f>
        <v>15015.643176101992</v>
      </c>
      <c r="H11" s="59">
        <f>'FT Users'!E6</f>
        <v>30343.794571956052</v>
      </c>
      <c r="I11" s="59">
        <f>'FT Users'!F6</f>
        <v>30656.302791708113</v>
      </c>
      <c r="J11" s="59">
        <f>'FT Users'!G6</f>
        <v>30968.811011460191</v>
      </c>
      <c r="K11" s="59">
        <f>'FT Users'!H6</f>
        <v>31281.319231212259</v>
      </c>
      <c r="L11" s="59">
        <f>'FT Users'!I6</f>
        <v>31593.827450964334</v>
      </c>
      <c r="M11" s="59">
        <f>'FT Users'!J6</f>
        <v>31906.335670716398</v>
      </c>
      <c r="N11" s="59">
        <f>'FT Users'!K6</f>
        <v>32003.520017561732</v>
      </c>
      <c r="O11" s="59">
        <f>'FT Users'!L6</f>
        <v>32100.704364407062</v>
      </c>
      <c r="P11" s="59">
        <f>'FT Users'!M6</f>
        <v>32197.888711252392</v>
      </c>
      <c r="Q11" s="59">
        <f>'FT Users'!N6</f>
        <v>32295.073058097725</v>
      </c>
      <c r="R11" s="59">
        <f>'FT Users'!O6</f>
        <v>32392.257404943055</v>
      </c>
      <c r="S11" s="59">
        <f>'FT Users'!P6</f>
        <v>32489.441751788385</v>
      </c>
      <c r="T11" s="59">
        <f>'FT Users'!Q6</f>
        <v>32586.626098633718</v>
      </c>
      <c r="U11" s="59">
        <f>'FT Users'!R6</f>
        <v>32683.810445479048</v>
      </c>
      <c r="V11" s="59">
        <f>'FT Users'!S6</f>
        <v>32780.994792324374</v>
      </c>
      <c r="W11" s="59">
        <f>'FT Users'!T6</f>
        <v>32878.179139169712</v>
      </c>
      <c r="X11" s="59">
        <f>'FT Users'!U6</f>
        <v>32978.341631724099</v>
      </c>
      <c r="Y11" s="59">
        <f>'FT Users'!V6</f>
        <v>33078.504124278494</v>
      </c>
      <c r="Z11" s="59">
        <f>'FT Users'!W6</f>
        <v>33178.666616832888</v>
      </c>
      <c r="AA11" s="59">
        <f>'FT Users'!X6</f>
        <v>33278.829109387283</v>
      </c>
      <c r="AB11" s="59">
        <f>'FT Users'!Y6</f>
        <v>33378.991601941678</v>
      </c>
      <c r="AC11" s="264">
        <f>'FT Users'!Z6</f>
        <v>33479.154094496065</v>
      </c>
      <c r="AD11" s="339">
        <f t="shared" si="0"/>
        <v>725547.01686643693</v>
      </c>
    </row>
    <row r="12" spans="1:33" s="53" customFormat="1" ht="12">
      <c r="A12" s="58"/>
      <c r="B12" s="70"/>
      <c r="C12" s="78" t="s">
        <v>402</v>
      </c>
      <c r="D12" s="209"/>
      <c r="E12" s="216"/>
      <c r="F12" s="59">
        <f>'FT Users'!C7</f>
        <v>0</v>
      </c>
      <c r="G12" s="59">
        <f>'FT Users'!D7</f>
        <v>11261.732382076492</v>
      </c>
      <c r="H12" s="59">
        <f>'FT Users'!E7</f>
        <v>22757.845928967039</v>
      </c>
      <c r="I12" s="59">
        <f>'FT Users'!F7</f>
        <v>22992.227093781083</v>
      </c>
      <c r="J12" s="59">
        <f>'FT Users'!G7</f>
        <v>23226.608258595141</v>
      </c>
      <c r="K12" s="59">
        <f>'FT Users'!H7</f>
        <v>23460.989423409195</v>
      </c>
      <c r="L12" s="59">
        <f>'FT Users'!I7</f>
        <v>23695.37058822325</v>
      </c>
      <c r="M12" s="59">
        <f>'FT Users'!J7</f>
        <v>23929.751753037297</v>
      </c>
      <c r="N12" s="59">
        <f>'FT Users'!K7</f>
        <v>24002.640013171298</v>
      </c>
      <c r="O12" s="59">
        <f>'FT Users'!L7</f>
        <v>24075.528273305295</v>
      </c>
      <c r="P12" s="59">
        <f>'FT Users'!M7</f>
        <v>24148.416533439293</v>
      </c>
      <c r="Q12" s="59">
        <f>'FT Users'!N7</f>
        <v>24221.304793573294</v>
      </c>
      <c r="R12" s="59">
        <f>'FT Users'!O7</f>
        <v>24294.193053707288</v>
      </c>
      <c r="S12" s="59">
        <f>'FT Users'!P7</f>
        <v>24367.081313841289</v>
      </c>
      <c r="T12" s="59">
        <f>'FT Users'!Q7</f>
        <v>24439.969573975286</v>
      </c>
      <c r="U12" s="59">
        <f>'FT Users'!R7</f>
        <v>24512.857834109283</v>
      </c>
      <c r="V12" s="59">
        <f>'FT Users'!S7</f>
        <v>24585.746094243281</v>
      </c>
      <c r="W12" s="59">
        <f>'FT Users'!T7</f>
        <v>24658.634354377282</v>
      </c>
      <c r="X12" s="59">
        <f>'FT Users'!U7</f>
        <v>24733.756223793072</v>
      </c>
      <c r="Y12" s="59">
        <f>'FT Users'!V7</f>
        <v>24808.878093208867</v>
      </c>
      <c r="Z12" s="59">
        <f>'FT Users'!W7</f>
        <v>24883.999962624664</v>
      </c>
      <c r="AA12" s="59">
        <f>'FT Users'!X7</f>
        <v>24959.121832040459</v>
      </c>
      <c r="AB12" s="59">
        <f>'FT Users'!Y7</f>
        <v>25034.243701456253</v>
      </c>
      <c r="AC12" s="264">
        <f>'FT Users'!Z7</f>
        <v>25109.365570872047</v>
      </c>
      <c r="AD12" s="339">
        <f t="shared" si="0"/>
        <v>544160.26264982787</v>
      </c>
    </row>
    <row r="13" spans="1:33" s="53" customFormat="1" ht="12">
      <c r="A13" s="58"/>
      <c r="B13" s="70"/>
      <c r="D13" s="209"/>
      <c r="E13" s="216"/>
      <c r="AC13" s="263"/>
      <c r="AD13" s="339"/>
    </row>
    <row r="14" spans="1:33" s="53" customFormat="1" ht="12">
      <c r="A14" s="58"/>
      <c r="B14" s="5" t="s">
        <v>261</v>
      </c>
      <c r="D14" s="209"/>
      <c r="E14" s="216"/>
      <c r="AC14" s="263"/>
      <c r="AD14" s="339"/>
    </row>
    <row r="15" spans="1:33" s="53" customFormat="1" ht="12">
      <c r="A15" s="58"/>
      <c r="B15" s="70" t="s">
        <v>447</v>
      </c>
      <c r="C15" s="70" t="s">
        <v>350</v>
      </c>
      <c r="D15" s="209"/>
      <c r="E15" s="216"/>
      <c r="F15" s="59">
        <f>'FT Users'!C11</f>
        <v>0</v>
      </c>
      <c r="G15" s="59">
        <f>'FT Users'!D11</f>
        <v>2319.0720000000001</v>
      </c>
      <c r="H15" s="59">
        <f>'FT Users'!E11</f>
        <v>5272.6420992000003</v>
      </c>
      <c r="I15" s="59">
        <f>'FT Users'!F11</f>
        <v>5993.9395383705605</v>
      </c>
      <c r="J15" s="59">
        <f>'FT Users'!G11</f>
        <v>6813.9104672196536</v>
      </c>
      <c r="K15" s="59">
        <f>'FT Users'!H11</f>
        <v>7746.0534191353017</v>
      </c>
      <c r="L15" s="59">
        <f>'FT Users'!I11</f>
        <v>8805.7135268730108</v>
      </c>
      <c r="M15" s="59">
        <f>'FT Users'!J11</f>
        <v>10010.335137349241</v>
      </c>
      <c r="N15" s="59">
        <f>'FT Users'!K11</f>
        <v>11379.748984138616</v>
      </c>
      <c r="O15" s="59">
        <f>'FT Users'!L11</f>
        <v>12936.49864516878</v>
      </c>
      <c r="P15" s="59">
        <f>'FT Users'!M11</f>
        <v>14706.21165982787</v>
      </c>
      <c r="Q15" s="59">
        <f>'FT Users'!N11</f>
        <v>16718.021414892322</v>
      </c>
      <c r="R15" s="59">
        <f>'FT Users'!O11</f>
        <v>19005.046744449592</v>
      </c>
      <c r="S15" s="59">
        <f>'FT Users'!P11</f>
        <v>21604.937139090296</v>
      </c>
      <c r="T15" s="59">
        <f>'FT Users'!Q11</f>
        <v>24560.492539717852</v>
      </c>
      <c r="U15" s="59">
        <f>'FT Users'!R11</f>
        <v>27920.367919151257</v>
      </c>
      <c r="V15" s="59">
        <f>'FT Users'!S11</f>
        <v>31739.87425049115</v>
      </c>
      <c r="W15" s="59">
        <f>'FT Users'!T11</f>
        <v>36081.889047958342</v>
      </c>
      <c r="X15" s="59">
        <f>'FT Users'!U11</f>
        <v>41017.891469719048</v>
      </c>
      <c r="Y15" s="59">
        <f>'FT Users'!V11</f>
        <v>46629.13902277661</v>
      </c>
      <c r="Z15" s="59">
        <f>'FT Users'!W11</f>
        <v>53008.005241092455</v>
      </c>
      <c r="AA15" s="59">
        <f>'FT Users'!X11</f>
        <v>60259.500358073907</v>
      </c>
      <c r="AB15" s="59">
        <f>'FT Users'!Y11</f>
        <v>68503.000007058406</v>
      </c>
      <c r="AC15" s="264">
        <f>'FT Users'!Z11</f>
        <v>77874.210408023995</v>
      </c>
      <c r="AD15" s="339">
        <f t="shared" si="0"/>
        <v>610906.50103977835</v>
      </c>
      <c r="AG15" s="367"/>
    </row>
    <row r="16" spans="1:33" s="53" customFormat="1" ht="12">
      <c r="A16" s="58"/>
      <c r="B16" s="70" t="s">
        <v>446</v>
      </c>
      <c r="C16" s="54" t="s">
        <v>417</v>
      </c>
      <c r="D16" s="209"/>
      <c r="E16" s="216"/>
      <c r="F16" s="59">
        <f>'FT Users'!C12</f>
        <v>0</v>
      </c>
      <c r="G16" s="59">
        <f>'FT Users'!D12</f>
        <v>92.76288000000001</v>
      </c>
      <c r="H16" s="59">
        <f>'FT Users'!E12</f>
        <v>210.90568396800001</v>
      </c>
      <c r="I16" s="59">
        <f>'FT Users'!F12</f>
        <v>239.75758153482244</v>
      </c>
      <c r="J16" s="59">
        <f>'FT Users'!G12</f>
        <v>272.55641868878615</v>
      </c>
      <c r="K16" s="59">
        <f>'FT Users'!H12</f>
        <v>309.84213676541208</v>
      </c>
      <c r="L16" s="59">
        <f>'FT Users'!I12</f>
        <v>352.22854107492043</v>
      </c>
      <c r="M16" s="59">
        <f>'FT Users'!J12</f>
        <v>400.41340549396961</v>
      </c>
      <c r="N16" s="59">
        <f>'FT Users'!K12</f>
        <v>455.18995936554467</v>
      </c>
      <c r="O16" s="59">
        <f>'FT Users'!L12</f>
        <v>517.45994580675119</v>
      </c>
      <c r="P16" s="59">
        <f>'FT Users'!M12</f>
        <v>588.24846639311477</v>
      </c>
      <c r="Q16" s="59">
        <f>'FT Users'!N12</f>
        <v>668.72085659569291</v>
      </c>
      <c r="R16" s="59">
        <f>'FT Users'!O12</f>
        <v>760.20186977798369</v>
      </c>
      <c r="S16" s="59">
        <f>'FT Users'!P12</f>
        <v>864.19748556361185</v>
      </c>
      <c r="T16" s="59">
        <f>'FT Users'!Q12</f>
        <v>982.41970158871413</v>
      </c>
      <c r="U16" s="59">
        <f>'FT Users'!R12</f>
        <v>1116.8147167660502</v>
      </c>
      <c r="V16" s="59">
        <f>'FT Users'!S12</f>
        <v>1269.5949700196461</v>
      </c>
      <c r="W16" s="59">
        <f>'FT Users'!T12</f>
        <v>1443.2755619183338</v>
      </c>
      <c r="X16" s="59">
        <f>'FT Users'!U12</f>
        <v>1640.7156587887621</v>
      </c>
      <c r="Y16" s="59">
        <f>'FT Users'!V12</f>
        <v>1865.1655609110644</v>
      </c>
      <c r="Z16" s="59">
        <f>'FT Users'!W12</f>
        <v>2120.320209643698</v>
      </c>
      <c r="AA16" s="59">
        <f>'FT Users'!X12</f>
        <v>2410.3800143229564</v>
      </c>
      <c r="AB16" s="59">
        <f>'FT Users'!Y12</f>
        <v>2740.1200002823362</v>
      </c>
      <c r="AC16" s="264">
        <f>'FT Users'!Z12</f>
        <v>3114.9684163209599</v>
      </c>
      <c r="AD16" s="339">
        <f t="shared" si="0"/>
        <v>24436.260041591129</v>
      </c>
      <c r="AG16" s="367"/>
    </row>
    <row r="17" spans="1:33" s="53" customFormat="1" ht="12">
      <c r="A17" s="58"/>
      <c r="B17" s="70"/>
      <c r="C17" s="78" t="s">
        <v>411</v>
      </c>
      <c r="D17" s="209"/>
      <c r="E17" s="216"/>
      <c r="F17" s="59">
        <f>'FT Users'!C13</f>
        <v>0</v>
      </c>
      <c r="G17" s="59">
        <f>'FT Users'!D13</f>
        <v>69.572159999999997</v>
      </c>
      <c r="H17" s="59">
        <f>'FT Users'!E13</f>
        <v>158.17926297599999</v>
      </c>
      <c r="I17" s="59">
        <f>'FT Users'!F13</f>
        <v>179.81818615111681</v>
      </c>
      <c r="J17" s="59">
        <f>'FT Users'!G13</f>
        <v>204.41731401658959</v>
      </c>
      <c r="K17" s="59">
        <f>'FT Users'!H13</f>
        <v>232.38160257405903</v>
      </c>
      <c r="L17" s="59">
        <f>'FT Users'!I13</f>
        <v>264.17140580619031</v>
      </c>
      <c r="M17" s="59">
        <f>'FT Users'!J13</f>
        <v>300.31005412047722</v>
      </c>
      <c r="N17" s="59">
        <f>'FT Users'!K13</f>
        <v>341.39246952415846</v>
      </c>
      <c r="O17" s="59">
        <f>'FT Users'!L13</f>
        <v>388.09495935506339</v>
      </c>
      <c r="P17" s="59">
        <f>'FT Users'!M13</f>
        <v>441.18634979483608</v>
      </c>
      <c r="Q17" s="59">
        <f>'FT Users'!N13</f>
        <v>501.54064244676965</v>
      </c>
      <c r="R17" s="59">
        <f>'FT Users'!O13</f>
        <v>570.15140233348768</v>
      </c>
      <c r="S17" s="59">
        <f>'FT Users'!P13</f>
        <v>648.14811417270892</v>
      </c>
      <c r="T17" s="59">
        <f>'FT Users'!Q13</f>
        <v>736.81477619153554</v>
      </c>
      <c r="U17" s="59">
        <f>'FT Users'!R13</f>
        <v>837.6110375745377</v>
      </c>
      <c r="V17" s="59">
        <f>'FT Users'!S13</f>
        <v>952.19622751473446</v>
      </c>
      <c r="W17" s="59">
        <f>'FT Users'!T13</f>
        <v>1082.4566714387502</v>
      </c>
      <c r="X17" s="59">
        <f>'FT Users'!U13</f>
        <v>1230.5367440915713</v>
      </c>
      <c r="Y17" s="59">
        <f>'FT Users'!V13</f>
        <v>1398.8741706832982</v>
      </c>
      <c r="Z17" s="59">
        <f>'FT Users'!W13</f>
        <v>1590.2401572327735</v>
      </c>
      <c r="AA17" s="59">
        <f>'FT Users'!X13</f>
        <v>1807.7850107422171</v>
      </c>
      <c r="AB17" s="59">
        <f>'FT Users'!Y13</f>
        <v>2055.0900002117523</v>
      </c>
      <c r="AC17" s="264">
        <f>'FT Users'!Z13</f>
        <v>2336.2263122407198</v>
      </c>
      <c r="AD17" s="339">
        <f t="shared" si="0"/>
        <v>18327.195031193347</v>
      </c>
      <c r="AG17" s="70" t="s">
        <v>553</v>
      </c>
    </row>
    <row r="18" spans="1:33" s="53" customFormat="1" ht="12">
      <c r="A18" s="58"/>
      <c r="B18" s="70"/>
      <c r="C18" s="48"/>
      <c r="D18" s="209"/>
      <c r="E18" s="216"/>
      <c r="AC18" s="263"/>
      <c r="AD18" s="339"/>
      <c r="AG18" s="368">
        <f>AD45+AD57+AD64</f>
        <v>7129473.2242549071</v>
      </c>
    </row>
    <row r="19" spans="1:33" s="53" customFormat="1" ht="12">
      <c r="A19" s="58"/>
      <c r="B19" s="70"/>
      <c r="C19" s="58" t="s">
        <v>420</v>
      </c>
      <c r="D19" s="209"/>
      <c r="E19" s="216"/>
      <c r="AC19" s="263"/>
      <c r="AD19" s="338"/>
      <c r="AG19" s="288" t="e">
        <f>+#REF!+#REF!+#REF!+AD169+AD167</f>
        <v>#REF!</v>
      </c>
    </row>
    <row r="20" spans="1:33" s="53" customFormat="1" ht="12">
      <c r="A20" s="58"/>
      <c r="B20" s="70"/>
      <c r="C20" s="78" t="s">
        <v>488</v>
      </c>
      <c r="D20" s="209"/>
      <c r="E20" s="216"/>
      <c r="F20" s="279">
        <f>'FT Users'!C24</f>
        <v>0</v>
      </c>
      <c r="G20" s="279">
        <f>'FT Users'!D24</f>
        <v>26439.710598178484</v>
      </c>
      <c r="H20" s="279">
        <f>'FT Users'!E24</f>
        <v>53470.725447867095</v>
      </c>
      <c r="I20" s="279">
        <f>'FT Users'!F24</f>
        <v>54068.105653175138</v>
      </c>
      <c r="J20" s="279">
        <f>'FT Users'!G24</f>
        <v>54672.393002760706</v>
      </c>
      <c r="K20" s="279">
        <f>'FT Users'!H24</f>
        <v>55284.53239396093</v>
      </c>
      <c r="L20" s="279">
        <f>'FT Users'!I24</f>
        <v>55905.597986068693</v>
      </c>
      <c r="M20" s="279">
        <f>'FT Users'!J24</f>
        <v>56536.81088336814</v>
      </c>
      <c r="N20" s="279">
        <f>'FT Users'!K24</f>
        <v>56802.742459622736</v>
      </c>
      <c r="O20" s="279">
        <f>'FT Users'!L24</f>
        <v>57081.787542874168</v>
      </c>
      <c r="P20" s="279">
        <f>'FT Users'!M24</f>
        <v>57375.740060879638</v>
      </c>
      <c r="Q20" s="279">
        <f>'FT Users'!N24</f>
        <v>57686.639350713478</v>
      </c>
      <c r="R20" s="279">
        <f>'FT Users'!O24</f>
        <v>58016.803730761821</v>
      </c>
      <c r="S20" s="279">
        <f>'FT Users'!P24</f>
        <v>58368.868665365997</v>
      </c>
      <c r="T20" s="279">
        <f>'FT Users'!Q24</f>
        <v>58745.830150389258</v>
      </c>
      <c r="U20" s="279">
        <f>'FT Users'!R24</f>
        <v>59151.094033928923</v>
      </c>
      <c r="V20" s="279">
        <f>'FT Users'!S24</f>
        <v>59588.532084102037</v>
      </c>
      <c r="W20" s="279">
        <f>'FT Users'!T24</f>
        <v>60062.545726904078</v>
      </c>
      <c r="X20" s="279">
        <f>'FT Users'!U24</f>
        <v>60583.350258397506</v>
      </c>
      <c r="Y20" s="279">
        <f>'FT Users'!V24</f>
        <v>61151.421949081727</v>
      </c>
      <c r="Z20" s="279">
        <f>'FT Users'!W24</f>
        <v>61773.226946334027</v>
      </c>
      <c r="AA20" s="279">
        <f>'FT Users'!X24</f>
        <v>62456.115966492922</v>
      </c>
      <c r="AB20" s="279">
        <f>'FT Users'!Y24</f>
        <v>63208.445303892018</v>
      </c>
      <c r="AC20" s="384">
        <f>'FT Users'!Z24</f>
        <v>64039.714393929789</v>
      </c>
      <c r="AD20" s="341">
        <f t="shared" si="0"/>
        <v>1312470.7345890496</v>
      </c>
    </row>
    <row r="21" spans="1:33" s="53" customFormat="1" ht="12">
      <c r="A21" s="58"/>
      <c r="B21" s="70"/>
      <c r="C21" s="78" t="s">
        <v>489</v>
      </c>
      <c r="D21" s="209"/>
      <c r="E21" s="216"/>
      <c r="F21" s="279">
        <f>'FT Users'!C25</f>
        <v>0</v>
      </c>
      <c r="G21" s="279">
        <f>'FT Users'!D25</f>
        <v>-13209.68360815191</v>
      </c>
      <c r="H21" s="279">
        <f>'FT Users'!E25</f>
        <v>-26714.791859837624</v>
      </c>
      <c r="I21" s="279">
        <f>'FT Users'!F25</f>
        <v>-27013.252142774145</v>
      </c>
      <c r="J21" s="279">
        <f>'FT Users'!G25</f>
        <v>-27315.163340583698</v>
      </c>
      <c r="K21" s="279">
        <f>'FT Users'!H25</f>
        <v>-27620.997538420903</v>
      </c>
      <c r="L21" s="279">
        <f>'FT Users'!I25</f>
        <v>-27931.291402689534</v>
      </c>
      <c r="M21" s="279">
        <f>'FT Users'!J25</f>
        <v>-28246.655015757409</v>
      </c>
      <c r="N21" s="279">
        <f>'FT Users'!K25</f>
        <v>-28379.518496645222</v>
      </c>
      <c r="O21" s="279">
        <f>'FT Users'!L25</f>
        <v>-28518.933686099517</v>
      </c>
      <c r="P21" s="279">
        <f>'FT Users'!M25</f>
        <v>-28665.796857852212</v>
      </c>
      <c r="Q21" s="279">
        <f>'FT Users'!N25</f>
        <v>-28821.126895881716</v>
      </c>
      <c r="R21" s="279">
        <f>'FT Users'!O25</f>
        <v>-28986.082067494703</v>
      </c>
      <c r="S21" s="279">
        <f>'FT Users'!P25</f>
        <v>-29161.979090965386</v>
      </c>
      <c r="T21" s="279">
        <f>'FT Users'!Q25</f>
        <v>-29350.314811627904</v>
      </c>
      <c r="U21" s="279">
        <f>'FT Users'!R25</f>
        <v>-29552.790843258095</v>
      </c>
      <c r="V21" s="279">
        <f>'FT Users'!S25</f>
        <v>-29771.341580396336</v>
      </c>
      <c r="W21" s="279">
        <f>'FT Users'!T25</f>
        <v>-30008.166042756144</v>
      </c>
      <c r="X21" s="279">
        <f>'FT Users'!U25</f>
        <v>-30268.367948415198</v>
      </c>
      <c r="Y21" s="279">
        <f>'FT Users'!V25</f>
        <v>-30552.185249395927</v>
      </c>
      <c r="Z21" s="279">
        <f>'FT Users'!W25</f>
        <v>-30862.848531778316</v>
      </c>
      <c r="AA21" s="279">
        <f>'FT Users'!X25</f>
        <v>-31204.030325818127</v>
      </c>
      <c r="AB21" s="279">
        <f>'FT Users'!Y25</f>
        <v>-31579.905563910077</v>
      </c>
      <c r="AC21" s="384">
        <f>'FT Users'!Z25</f>
        <v>-31995.220309200511</v>
      </c>
      <c r="AD21" s="341">
        <f t="shared" si="0"/>
        <v>-655730.44320971053</v>
      </c>
    </row>
    <row r="22" spans="1:33" s="53" customFormat="1" ht="12">
      <c r="A22" s="58"/>
      <c r="B22" s="70"/>
      <c r="C22" s="78" t="s">
        <v>490</v>
      </c>
      <c r="D22" s="209"/>
      <c r="E22" s="216"/>
      <c r="F22" s="279">
        <f>'FT Users'!C26</f>
        <v>0</v>
      </c>
      <c r="G22" s="279">
        <f>'FT Users'!D26</f>
        <v>-15108.406056101992</v>
      </c>
      <c r="H22" s="279">
        <f>'FT Users'!E26</f>
        <v>-30554.700255924054</v>
      </c>
      <c r="I22" s="279">
        <f>'FT Users'!F26</f>
        <v>-30896.060373242934</v>
      </c>
      <c r="J22" s="279">
        <f>'FT Users'!G26</f>
        <v>-31241.367430148977</v>
      </c>
      <c r="K22" s="279">
        <f>'FT Users'!H26</f>
        <v>-31591.161367977671</v>
      </c>
      <c r="L22" s="279">
        <f>'FT Users'!I26</f>
        <v>-31946.055992039255</v>
      </c>
      <c r="M22" s="279">
        <f>'FT Users'!J26</f>
        <v>-32306.74907621037</v>
      </c>
      <c r="N22" s="279">
        <f>'FT Users'!K26</f>
        <v>-32458.709976927275</v>
      </c>
      <c r="O22" s="279">
        <f>'FT Users'!L26</f>
        <v>-32618.164310213811</v>
      </c>
      <c r="P22" s="279">
        <f>'FT Users'!M26</f>
        <v>-32786.137177645505</v>
      </c>
      <c r="Q22" s="279">
        <f>'FT Users'!N26</f>
        <v>-32963.793914693415</v>
      </c>
      <c r="R22" s="279">
        <f>'FT Users'!O26</f>
        <v>-33152.459274721041</v>
      </c>
      <c r="S22" s="279">
        <f>'FT Users'!P26</f>
        <v>-33353.639237351999</v>
      </c>
      <c r="T22" s="279">
        <f>'FT Users'!Q26</f>
        <v>-33569.045800222433</v>
      </c>
      <c r="U22" s="279">
        <f>'FT Users'!R26</f>
        <v>-33800.625162245102</v>
      </c>
      <c r="V22" s="279">
        <f>'FT Users'!S26</f>
        <v>-34050.589762344018</v>
      </c>
      <c r="W22" s="279">
        <f>'FT Users'!T26</f>
        <v>-34321.454701088049</v>
      </c>
      <c r="X22" s="279">
        <f>'FT Users'!U26</f>
        <v>-34619.057290512865</v>
      </c>
      <c r="Y22" s="279">
        <f>'FT Users'!V26</f>
        <v>-34943.669685189561</v>
      </c>
      <c r="Z22" s="279">
        <f>'FT Users'!W26</f>
        <v>-35298.986826476583</v>
      </c>
      <c r="AA22" s="279">
        <f>'FT Users'!X26</f>
        <v>-35689.209123710243</v>
      </c>
      <c r="AB22" s="279">
        <f>'FT Users'!Y26</f>
        <v>-36119.111602224017</v>
      </c>
      <c r="AC22" s="384">
        <f>'FT Users'!Z26</f>
        <v>-36594.122510817026</v>
      </c>
      <c r="AD22" s="341">
        <f t="shared" si="0"/>
        <v>-749983.27690802829</v>
      </c>
    </row>
    <row r="23" spans="1:33" s="53" customFormat="1" ht="12">
      <c r="A23" s="58"/>
      <c r="B23" s="70"/>
      <c r="C23" s="78" t="s">
        <v>491</v>
      </c>
      <c r="D23" s="209"/>
      <c r="E23" s="216"/>
      <c r="F23" s="279">
        <f>'FT Users'!C27</f>
        <v>0</v>
      </c>
      <c r="G23" s="279">
        <f>'FT Users'!D27</f>
        <v>-98204.639364662944</v>
      </c>
      <c r="H23" s="279">
        <f>'FT Users'!E27</f>
        <v>-198605.55166350634</v>
      </c>
      <c r="I23" s="279">
        <f>'FT Users'!F27</f>
        <v>-200824.39242607908</v>
      </c>
      <c r="J23" s="279">
        <f>'FT Users'!G27</f>
        <v>-203068.88829596835</v>
      </c>
      <c r="K23" s="279">
        <f>'FT Users'!H27</f>
        <v>-205342.54889185485</v>
      </c>
      <c r="L23" s="279">
        <f>'FT Users'!I27</f>
        <v>-207649.36394825517</v>
      </c>
      <c r="M23" s="279">
        <f>'FT Users'!J27</f>
        <v>-209993.8689953674</v>
      </c>
      <c r="N23" s="279">
        <f>'FT Users'!K27</f>
        <v>-210981.61485002728</v>
      </c>
      <c r="O23" s="279">
        <f>'FT Users'!L27</f>
        <v>-212018.06801638976</v>
      </c>
      <c r="P23" s="279">
        <f>'FT Users'!M27</f>
        <v>-213109.89165469579</v>
      </c>
      <c r="Q23" s="279">
        <f>'FT Users'!N27</f>
        <v>-214264.66044550721</v>
      </c>
      <c r="R23" s="279">
        <f>'FT Users'!O27</f>
        <v>-215490.98528568677</v>
      </c>
      <c r="S23" s="279">
        <f>'FT Users'!P27</f>
        <v>-216798.65504278798</v>
      </c>
      <c r="T23" s="279">
        <f>'FT Users'!Q27</f>
        <v>-218198.79770144582</v>
      </c>
      <c r="U23" s="279">
        <f>'FT Users'!R27</f>
        <v>-219704.06355459316</v>
      </c>
      <c r="V23" s="279">
        <f>'FT Users'!S27</f>
        <v>-221328.8334552361</v>
      </c>
      <c r="W23" s="279">
        <f>'FT Users'!T27</f>
        <v>-223089.4555570723</v>
      </c>
      <c r="X23" s="279">
        <f>'FT Users'!U27</f>
        <v>-225023.87238833361</v>
      </c>
      <c r="Y23" s="279">
        <f>'FT Users'!V27</f>
        <v>-227133.85295373216</v>
      </c>
      <c r="Z23" s="279">
        <f>'FT Users'!W27</f>
        <v>-229443.41437209779</v>
      </c>
      <c r="AA23" s="279">
        <f>'FT Users'!X27</f>
        <v>-231979.85930411657</v>
      </c>
      <c r="AB23" s="279">
        <f>'FT Users'!Y27</f>
        <v>-234774.2254144561</v>
      </c>
      <c r="AC23" s="384">
        <f>'FT Users'!Z27</f>
        <v>-237861.79632031068</v>
      </c>
      <c r="AD23" s="341">
        <f t="shared" si="0"/>
        <v>-4874891.299902183</v>
      </c>
    </row>
    <row r="24" spans="1:33" s="53" customFormat="1" ht="12">
      <c r="A24" s="58"/>
      <c r="B24" s="70"/>
      <c r="C24" s="54" t="s">
        <v>492</v>
      </c>
      <c r="D24" s="209"/>
      <c r="E24" s="216"/>
      <c r="F24" s="435">
        <f>'FT Users'!C28</f>
        <v>0</v>
      </c>
      <c r="G24" s="435">
        <f>'FT Users'!D28</f>
        <v>17305.905922395203</v>
      </c>
      <c r="H24" s="435">
        <f>'FT Users'!E28</f>
        <v>34210.075703199225</v>
      </c>
      <c r="I24" s="435">
        <f>'FT Users'!F28</f>
        <v>33829.849991455005</v>
      </c>
      <c r="J24" s="435">
        <f>'FT Users'!G28</f>
        <v>33470.251944304706</v>
      </c>
      <c r="K24" s="435">
        <f>'FT Users'!H28</f>
        <v>33130.541477849758</v>
      </c>
      <c r="L24" s="435">
        <f>'FT Users'!I28</f>
        <v>32810.11557007517</v>
      </c>
      <c r="M24" s="435">
        <f>'FT Users'!J28</f>
        <v>32508.504547858032</v>
      </c>
      <c r="N24" s="435">
        <f>'FT Users'!K28</f>
        <v>32013.00302758042</v>
      </c>
      <c r="O24" s="435">
        <f>'FT Users'!L28</f>
        <v>32153.232146311704</v>
      </c>
      <c r="P24" s="435">
        <f>'FT Users'!M28</f>
        <v>32301.705496364033</v>
      </c>
      <c r="Q24" s="435">
        <f>'FT Users'!N28</f>
        <v>32459.557504185883</v>
      </c>
      <c r="R24" s="435">
        <f>'FT Users'!O28</f>
        <v>32628.077093441745</v>
      </c>
      <c r="S24" s="435">
        <f>'FT Users'!P28</f>
        <v>32808.728728885595</v>
      </c>
      <c r="T24" s="435">
        <f>'FT Users'!Q28</f>
        <v>33003.176326642766</v>
      </c>
      <c r="U24" s="435">
        <f>'FT Users'!R28</f>
        <v>33213.31042134406</v>
      </c>
      <c r="V24" s="435">
        <f>'FT Users'!S28</f>
        <v>33441.27903374067</v>
      </c>
      <c r="W24" s="435">
        <f>'FT Users'!T28</f>
        <v>33689.522742858018</v>
      </c>
      <c r="X24" s="435">
        <f>'FT Users'!U28</f>
        <v>33963.736306347164</v>
      </c>
      <c r="Y24" s="435">
        <f>'FT Users'!V28</f>
        <v>34264.145546940374</v>
      </c>
      <c r="Z24" s="435">
        <f>'FT Users'!W28</f>
        <v>34594.330271159793</v>
      </c>
      <c r="AA24" s="435">
        <f>'FT Users'!X28</f>
        <v>34958.357867602368</v>
      </c>
      <c r="AB24" s="435">
        <f>'FT Users'!Y28</f>
        <v>35360.849721147824</v>
      </c>
      <c r="AC24" s="436">
        <f>'FT Users'!Z28</f>
        <v>35807.056673698287</v>
      </c>
      <c r="AD24" s="342">
        <f t="shared" si="0"/>
        <v>753925.31406538771</v>
      </c>
    </row>
    <row r="25" spans="1:33" s="53" customFormat="1" ht="12">
      <c r="A25" s="58"/>
      <c r="B25" s="70"/>
      <c r="C25" s="66"/>
      <c r="D25" s="209"/>
      <c r="E25" s="216"/>
      <c r="H25" s="59"/>
      <c r="I25" s="59"/>
      <c r="J25" s="59"/>
      <c r="K25" s="59"/>
      <c r="L25" s="59"/>
      <c r="M25" s="59"/>
      <c r="N25" s="59"/>
      <c r="O25" s="59"/>
      <c r="P25" s="59"/>
      <c r="Q25" s="59"/>
      <c r="R25" s="59"/>
      <c r="S25" s="59"/>
      <c r="T25" s="59"/>
      <c r="U25" s="59"/>
      <c r="V25" s="59"/>
      <c r="W25" s="59"/>
      <c r="X25" s="59"/>
      <c r="Y25" s="59"/>
      <c r="AC25" s="263"/>
      <c r="AD25" s="338"/>
    </row>
    <row r="26" spans="1:33" s="53" customFormat="1" ht="12">
      <c r="A26" s="58" t="s">
        <v>230</v>
      </c>
      <c r="B26" s="58"/>
      <c r="D26" s="209"/>
      <c r="E26" s="216"/>
      <c r="H26" s="59"/>
      <c r="I26" s="59"/>
      <c r="J26" s="59"/>
      <c r="K26" s="59"/>
      <c r="L26" s="59"/>
      <c r="M26" s="59"/>
      <c r="N26" s="59"/>
      <c r="O26" s="59"/>
      <c r="P26" s="59"/>
      <c r="Q26" s="59"/>
      <c r="R26" s="59"/>
      <c r="S26" s="59"/>
      <c r="T26" s="59"/>
      <c r="U26" s="59"/>
      <c r="V26" s="59"/>
      <c r="W26" s="59"/>
      <c r="X26" s="59"/>
      <c r="Y26" s="59"/>
      <c r="AC26" s="263"/>
      <c r="AD26" s="338"/>
    </row>
    <row r="27" spans="1:33" s="53" customFormat="1" ht="12">
      <c r="A27" s="58"/>
      <c r="B27" s="5" t="s">
        <v>353</v>
      </c>
      <c r="D27" s="209"/>
      <c r="E27" s="216"/>
      <c r="H27" s="59"/>
      <c r="I27" s="59"/>
      <c r="J27" s="59"/>
      <c r="K27" s="59"/>
      <c r="L27" s="59"/>
      <c r="M27" s="59"/>
      <c r="N27" s="59"/>
      <c r="O27" s="59"/>
      <c r="P27" s="59"/>
      <c r="Q27" s="59"/>
      <c r="R27" s="59"/>
      <c r="S27" s="59"/>
      <c r="T27" s="59"/>
      <c r="U27" s="59"/>
      <c r="V27" s="59"/>
      <c r="W27" s="59"/>
      <c r="X27" s="59"/>
      <c r="Y27" s="59"/>
      <c r="AC27" s="263"/>
      <c r="AD27" s="338"/>
    </row>
    <row r="28" spans="1:33" s="53" customFormat="1" ht="12">
      <c r="A28" s="58"/>
      <c r="B28" s="70" t="s">
        <v>354</v>
      </c>
      <c r="C28" s="70" t="s">
        <v>350</v>
      </c>
      <c r="D28" s="209"/>
      <c r="E28" s="216"/>
      <c r="F28" s="434">
        <f>'FT Users'!C17</f>
        <v>0</v>
      </c>
      <c r="G28" s="434">
        <f>'FT Users'!D17</f>
        <v>3173952.7897029128</v>
      </c>
      <c r="H28" s="434">
        <f>'FT Users'!E17</f>
        <v>0</v>
      </c>
      <c r="I28" s="434">
        <f>'FT Users'!F17</f>
        <v>0</v>
      </c>
      <c r="J28" s="434">
        <f>'FT Users'!G17</f>
        <v>0</v>
      </c>
      <c r="K28" s="434">
        <f>'FT Users'!H17</f>
        <v>0</v>
      </c>
      <c r="L28" s="434">
        <f>'FT Users'!I17</f>
        <v>0</v>
      </c>
      <c r="M28" s="434">
        <f>'FT Users'!J17</f>
        <v>0</v>
      </c>
      <c r="N28" s="434">
        <f>'FT Users'!K17</f>
        <v>0</v>
      </c>
      <c r="O28" s="434">
        <f>'FT Users'!L17</f>
        <v>0</v>
      </c>
      <c r="P28" s="434">
        <f>'FT Users'!M17</f>
        <v>0</v>
      </c>
      <c r="Q28" s="434">
        <f>'FT Users'!N17</f>
        <v>0</v>
      </c>
      <c r="R28" s="434">
        <f>'FT Users'!O17</f>
        <v>0</v>
      </c>
      <c r="S28" s="434">
        <f>'FT Users'!P17</f>
        <v>0</v>
      </c>
      <c r="T28" s="434">
        <f>'FT Users'!Q17</f>
        <v>0</v>
      </c>
      <c r="U28" s="434">
        <f>'FT Users'!R17</f>
        <v>0</v>
      </c>
      <c r="V28" s="434">
        <f>'FT Users'!S17</f>
        <v>0</v>
      </c>
      <c r="W28" s="434">
        <f>'FT Users'!T17</f>
        <v>0</v>
      </c>
      <c r="X28" s="434">
        <f>'FT Users'!U17</f>
        <v>0</v>
      </c>
      <c r="Y28" s="434">
        <f>'FT Users'!V17</f>
        <v>0</v>
      </c>
      <c r="Z28" s="434">
        <f>'FT Users'!W17</f>
        <v>0</v>
      </c>
      <c r="AA28" s="434">
        <f>'FT Users'!X17</f>
        <v>0</v>
      </c>
      <c r="AB28" s="434">
        <f>'FT Users'!Y17</f>
        <v>0</v>
      </c>
      <c r="AC28" s="437">
        <f>'FT Users'!Z17</f>
        <v>0</v>
      </c>
      <c r="AD28" s="343">
        <f t="shared" si="0"/>
        <v>3173952.7897029128</v>
      </c>
    </row>
    <row r="29" spans="1:33" s="53" customFormat="1" ht="12">
      <c r="A29" s="58"/>
      <c r="B29" s="70" t="s">
        <v>355</v>
      </c>
      <c r="C29" s="70" t="s">
        <v>513</v>
      </c>
      <c r="D29" s="209"/>
      <c r="E29" s="216"/>
      <c r="F29" s="434">
        <f>'FT Users'!C19</f>
        <v>0</v>
      </c>
      <c r="G29" s="434">
        <f>'FT Users'!D19</f>
        <v>-7554.2030280509962</v>
      </c>
      <c r="H29" s="434">
        <f>'FT Users'!E19</f>
        <v>-15277.350127962027</v>
      </c>
      <c r="I29" s="434">
        <f>'FT Users'!F19</f>
        <v>-15448.030186621467</v>
      </c>
      <c r="J29" s="434">
        <f>'FT Users'!G19</f>
        <v>-15620.683715074489</v>
      </c>
      <c r="K29" s="434">
        <f>'FT Users'!H19</f>
        <v>-15795.580683988836</v>
      </c>
      <c r="L29" s="434">
        <f>'FT Users'!I19</f>
        <v>-15973.027996019628</v>
      </c>
      <c r="M29" s="434">
        <f>'FT Users'!J19</f>
        <v>-16153.374538105185</v>
      </c>
      <c r="N29" s="434">
        <f>'FT Users'!K19</f>
        <v>-16229.354988463638</v>
      </c>
      <c r="O29" s="434">
        <f>'FT Users'!L19</f>
        <v>-16309.082155106906</v>
      </c>
      <c r="P29" s="434">
        <f>'FT Users'!M19</f>
        <v>-16393.068588822753</v>
      </c>
      <c r="Q29" s="434">
        <f>'FT Users'!N19</f>
        <v>-16481.896957346707</v>
      </c>
      <c r="R29" s="434">
        <f>'FT Users'!O19</f>
        <v>-16576.22963736052</v>
      </c>
      <c r="S29" s="434">
        <f>'FT Users'!P19</f>
        <v>-16676.819618676</v>
      </c>
      <c r="T29" s="434">
        <f>'FT Users'!Q19</f>
        <v>-16784.522900111217</v>
      </c>
      <c r="U29" s="434">
        <f>'FT Users'!R19</f>
        <v>-16900.312581122551</v>
      </c>
      <c r="V29" s="434">
        <f>'FT Users'!S19</f>
        <v>-17025.294881172009</v>
      </c>
      <c r="W29" s="434">
        <f>'FT Users'!T19</f>
        <v>-17160.727350544024</v>
      </c>
      <c r="X29" s="434">
        <f>'FT Users'!U19</f>
        <v>-17309.528645256432</v>
      </c>
      <c r="Y29" s="434">
        <f>'FT Users'!V19</f>
        <v>-17471.834842594781</v>
      </c>
      <c r="Z29" s="434">
        <f>'FT Users'!W19</f>
        <v>-17649.493413238291</v>
      </c>
      <c r="AA29" s="434">
        <f>'FT Users'!X19</f>
        <v>-17844.604561855122</v>
      </c>
      <c r="AB29" s="434">
        <f>'FT Users'!Y19</f>
        <v>-18059.555801112008</v>
      </c>
      <c r="AC29" s="437">
        <f>'FT Users'!Z19</f>
        <v>-18297.061255408513</v>
      </c>
      <c r="AD29" s="341">
        <f t="shared" si="0"/>
        <v>-374991.63845401414</v>
      </c>
    </row>
    <row r="30" spans="1:33" s="53" customFormat="1" ht="12">
      <c r="A30" s="58"/>
      <c r="B30" s="70"/>
      <c r="C30" s="70" t="s">
        <v>652</v>
      </c>
      <c r="D30" s="209"/>
      <c r="E30" s="216"/>
      <c r="F30" s="434">
        <f>'FT Users'!C20</f>
        <v>0</v>
      </c>
      <c r="G30" s="434">
        <f>'FT Users'!D20</f>
        <v>0</v>
      </c>
      <c r="H30" s="434">
        <f>'FT Users'!E20</f>
        <v>3191703.8727980377</v>
      </c>
      <c r="I30" s="434">
        <f>'FT Users'!F20</f>
        <v>3224561.6259624646</v>
      </c>
      <c r="J30" s="434">
        <f>'FT Users'!G20</f>
        <v>3257417.4056570991</v>
      </c>
      <c r="K30" s="434">
        <f>'FT Users'!H20</f>
        <v>3290270.9419112718</v>
      </c>
      <c r="L30" s="434">
        <f>'FT Users'!I20</f>
        <v>3323121.9278223282</v>
      </c>
      <c r="M30" s="434">
        <f>'FT Users'!J20</f>
        <v>3355970.01450333</v>
      </c>
      <c r="N30" s="434">
        <f>'FT Users'!K20</f>
        <v>3366165.2733587939</v>
      </c>
      <c r="O30" s="434">
        <f>'FT Users'!L20</f>
        <v>3376356.7854979741</v>
      </c>
      <c r="P30" s="434">
        <f>'FT Users'!M20</f>
        <v>3386544.0383700822</v>
      </c>
      <c r="Q30" s="434">
        <f>'FT Users'!N20</f>
        <v>3396726.4493073812</v>
      </c>
      <c r="R30" s="434">
        <f>'FT Users'!O20</f>
        <v>3406903.3559331903</v>
      </c>
      <c r="S30" s="434">
        <f>'FT Users'!P20</f>
        <v>3417074.0052576987</v>
      </c>
      <c r="T30" s="434">
        <f>'FT Users'!Q20</f>
        <v>3427237.5412820866</v>
      </c>
      <c r="U30" s="434">
        <f>'FT Users'!R20</f>
        <v>3437392.9909068984</v>
      </c>
      <c r="V30" s="434">
        <f>'FT Users'!S20</f>
        <v>3447539.2479126723</v>
      </c>
      <c r="W30" s="434">
        <f>'FT Users'!T20</f>
        <v>3457675.0547491242</v>
      </c>
      <c r="X30" s="434">
        <f>'FT Users'!U20</f>
        <v>3468112.2476385492</v>
      </c>
      <c r="Y30" s="434">
        <f>'FT Users'!V20</f>
        <v>3478535.9356253487</v>
      </c>
      <c r="Z30" s="434">
        <f>'FT Users'!W20</f>
        <v>3488944.271238843</v>
      </c>
      <c r="AA30" s="434">
        <f>'FT Users'!X20</f>
        <v>3499335.1542743649</v>
      </c>
      <c r="AB30" s="434">
        <f>'FT Users'!Y20</f>
        <v>3509706.1972192451</v>
      </c>
      <c r="AC30" s="437">
        <f>'FT Users'!Z20</f>
        <v>3520054.6859490871</v>
      </c>
      <c r="AD30" s="343">
        <f t="shared" si="0"/>
        <v>74727349.023175865</v>
      </c>
    </row>
    <row r="31" spans="1:33" s="53" customFormat="1" ht="12">
      <c r="A31" s="58"/>
      <c r="B31" s="58"/>
      <c r="D31" s="209"/>
      <c r="E31" s="216"/>
      <c r="AC31" s="263"/>
      <c r="AD31" s="338"/>
    </row>
    <row r="32" spans="1:33" s="53" customFormat="1" ht="12">
      <c r="A32" s="58"/>
      <c r="B32" s="58"/>
      <c r="D32" s="209"/>
      <c r="E32" s="216"/>
      <c r="H32" s="59"/>
      <c r="I32" s="59"/>
      <c r="J32" s="59"/>
      <c r="K32" s="59"/>
      <c r="L32" s="59"/>
      <c r="M32" s="59"/>
      <c r="N32" s="59"/>
      <c r="O32" s="59"/>
      <c r="P32" s="59"/>
      <c r="Q32" s="59"/>
      <c r="R32" s="59"/>
      <c r="S32" s="59"/>
      <c r="T32" s="59"/>
      <c r="U32" s="59"/>
      <c r="V32" s="59"/>
      <c r="W32" s="59"/>
      <c r="X32" s="59"/>
      <c r="Y32" s="59"/>
      <c r="AC32" s="263"/>
      <c r="AD32" s="338"/>
    </row>
    <row r="33" spans="1:30" s="53" customFormat="1" ht="12">
      <c r="A33" s="58" t="s">
        <v>348</v>
      </c>
      <c r="B33" s="58"/>
      <c r="D33" s="209"/>
      <c r="E33" s="216"/>
      <c r="H33" s="59"/>
      <c r="I33" s="59"/>
      <c r="J33" s="59"/>
      <c r="K33" s="59"/>
      <c r="L33" s="59"/>
      <c r="M33" s="59"/>
      <c r="N33" s="59"/>
      <c r="O33" s="59"/>
      <c r="P33" s="59"/>
      <c r="Q33" s="59"/>
      <c r="R33" s="59"/>
      <c r="S33" s="59"/>
      <c r="T33" s="59"/>
      <c r="U33" s="59"/>
      <c r="V33" s="59"/>
      <c r="W33" s="59"/>
      <c r="X33" s="59"/>
      <c r="Y33" s="59"/>
      <c r="AC33" s="263"/>
      <c r="AD33" s="338"/>
    </row>
    <row r="34" spans="1:30" s="53" customFormat="1" ht="12">
      <c r="A34" s="58"/>
      <c r="B34" s="58"/>
      <c r="C34" s="197" t="s">
        <v>349</v>
      </c>
      <c r="D34" s="209"/>
      <c r="E34" s="216"/>
      <c r="H34" s="59"/>
      <c r="I34" s="59"/>
      <c r="J34" s="59"/>
      <c r="K34" s="59"/>
      <c r="L34" s="59"/>
      <c r="M34" s="59"/>
      <c r="N34" s="59"/>
      <c r="O34" s="59"/>
      <c r="P34" s="59"/>
      <c r="Q34" s="59"/>
      <c r="R34" s="59"/>
      <c r="S34" s="59"/>
      <c r="T34" s="59"/>
      <c r="U34" s="59"/>
      <c r="V34" s="59"/>
      <c r="W34" s="59"/>
      <c r="X34" s="59"/>
      <c r="Y34" s="59"/>
      <c r="AC34" s="263"/>
      <c r="AD34" s="338"/>
    </row>
    <row r="35" spans="1:30" s="53" customFormat="1" ht="12">
      <c r="A35" s="58"/>
      <c r="B35" s="58"/>
      <c r="D35" s="209"/>
      <c r="E35" s="216"/>
      <c r="H35" s="59"/>
      <c r="I35" s="59"/>
      <c r="J35" s="59"/>
      <c r="K35" s="59"/>
      <c r="L35" s="59"/>
      <c r="M35" s="59"/>
      <c r="N35" s="59"/>
      <c r="O35" s="59"/>
      <c r="P35" s="59"/>
      <c r="Q35" s="59"/>
      <c r="R35" s="59"/>
      <c r="S35" s="59"/>
      <c r="T35" s="59"/>
      <c r="U35" s="59"/>
      <c r="V35" s="59"/>
      <c r="W35" s="59"/>
      <c r="X35" s="59"/>
      <c r="Y35" s="59"/>
      <c r="AC35" s="263"/>
      <c r="AD35" s="338"/>
    </row>
    <row r="36" spans="1:30" s="53" customFormat="1" ht="12">
      <c r="A36" s="58"/>
      <c r="B36" s="58"/>
      <c r="D36" s="209"/>
      <c r="E36" s="216"/>
      <c r="H36" s="59"/>
      <c r="I36" s="59"/>
      <c r="J36" s="59"/>
      <c r="K36" s="59"/>
      <c r="L36" s="59"/>
      <c r="M36" s="59"/>
      <c r="N36" s="59"/>
      <c r="O36" s="59"/>
      <c r="P36" s="59"/>
      <c r="Q36" s="59"/>
      <c r="R36" s="59"/>
      <c r="S36" s="59"/>
      <c r="T36" s="59"/>
      <c r="U36" s="59"/>
      <c r="V36" s="59"/>
      <c r="W36" s="59"/>
      <c r="X36" s="59"/>
      <c r="Y36" s="59"/>
      <c r="AC36" s="263"/>
      <c r="AD36" s="338"/>
    </row>
    <row r="37" spans="1:30" s="53" customFormat="1" ht="12">
      <c r="A37" s="58"/>
      <c r="B37" s="58"/>
      <c r="C37" s="45"/>
      <c r="D37" s="210"/>
      <c r="E37" s="216"/>
      <c r="F37" s="59"/>
      <c r="G37" s="59"/>
      <c r="H37" s="59"/>
      <c r="I37" s="59"/>
      <c r="J37" s="59"/>
      <c r="K37" s="59"/>
      <c r="L37" s="59"/>
      <c r="M37" s="59"/>
      <c r="N37" s="59"/>
      <c r="O37" s="59"/>
      <c r="P37" s="59"/>
      <c r="Q37" s="59"/>
      <c r="R37" s="59"/>
      <c r="S37" s="59"/>
      <c r="T37" s="59"/>
      <c r="U37" s="59"/>
      <c r="V37" s="59"/>
      <c r="W37" s="59"/>
      <c r="X37" s="59"/>
      <c r="Y37" s="59"/>
      <c r="AC37" s="263"/>
      <c r="AD37" s="338"/>
    </row>
    <row r="38" spans="1:30" s="53" customFormat="1" ht="12">
      <c r="A38" s="44" t="s">
        <v>346</v>
      </c>
      <c r="B38" s="44"/>
      <c r="C38" s="45"/>
      <c r="D38" s="210"/>
      <c r="E38" s="217"/>
      <c r="F38" s="45"/>
      <c r="G38" s="59"/>
      <c r="H38" s="59"/>
      <c r="I38" s="59"/>
      <c r="J38" s="59"/>
      <c r="K38" s="59"/>
      <c r="L38" s="59"/>
      <c r="M38" s="59"/>
      <c r="N38" s="59"/>
      <c r="O38" s="59"/>
      <c r="P38" s="59"/>
      <c r="Q38" s="59"/>
      <c r="R38" s="59"/>
      <c r="S38" s="59"/>
      <c r="T38" s="59"/>
      <c r="U38" s="59"/>
      <c r="V38" s="59"/>
      <c r="W38" s="59"/>
      <c r="X38" s="59"/>
      <c r="Y38" s="59"/>
      <c r="AC38" s="263"/>
      <c r="AD38" s="338"/>
    </row>
    <row r="39" spans="1:30" s="53" customFormat="1" ht="12">
      <c r="A39" s="44"/>
      <c r="B39" s="44"/>
      <c r="C39" s="45"/>
      <c r="D39" s="210"/>
      <c r="E39" s="217"/>
      <c r="F39" s="45"/>
      <c r="G39" s="59"/>
      <c r="H39" s="59"/>
      <c r="I39" s="59"/>
      <c r="J39" s="59"/>
      <c r="K39" s="59"/>
      <c r="L39" s="59"/>
      <c r="M39" s="59"/>
      <c r="N39" s="59"/>
      <c r="O39" s="59"/>
      <c r="P39" s="59"/>
      <c r="Q39" s="59"/>
      <c r="R39" s="59"/>
      <c r="S39" s="59"/>
      <c r="T39" s="59"/>
      <c r="U39" s="59"/>
      <c r="V39" s="59"/>
      <c r="W39" s="59"/>
      <c r="X39" s="59"/>
      <c r="Y39" s="59"/>
      <c r="AC39" s="263"/>
      <c r="AD39" s="338"/>
    </row>
    <row r="40" spans="1:30" s="53" customFormat="1" ht="12">
      <c r="A40" s="44"/>
      <c r="B40" s="5" t="s">
        <v>351</v>
      </c>
      <c r="C40" s="45"/>
      <c r="D40" s="210"/>
      <c r="E40" s="217"/>
      <c r="F40" s="45"/>
      <c r="G40" s="59"/>
      <c r="H40" s="59"/>
      <c r="I40" s="59"/>
      <c r="J40" s="59"/>
      <c r="K40" s="59"/>
      <c r="L40" s="59"/>
      <c r="M40" s="59"/>
      <c r="N40" s="59"/>
      <c r="O40" s="59"/>
      <c r="P40" s="59"/>
      <c r="Q40" s="59"/>
      <c r="R40" s="59"/>
      <c r="S40" s="59"/>
      <c r="T40" s="59"/>
      <c r="U40" s="59"/>
      <c r="V40" s="59"/>
      <c r="W40" s="59"/>
      <c r="X40" s="59"/>
      <c r="Y40" s="59"/>
      <c r="AC40" s="263"/>
      <c r="AD40" s="338"/>
    </row>
    <row r="41" spans="1:30" s="53" customFormat="1" ht="12">
      <c r="A41" s="44"/>
      <c r="B41" s="250" t="s">
        <v>447</v>
      </c>
      <c r="C41" s="70" t="s">
        <v>350</v>
      </c>
      <c r="D41" s="210"/>
      <c r="E41" s="217"/>
      <c r="F41" s="45"/>
      <c r="G41" s="59"/>
      <c r="H41" s="59"/>
      <c r="I41" s="59"/>
      <c r="J41" s="59"/>
      <c r="K41" s="59"/>
      <c r="L41" s="59"/>
      <c r="M41" s="59"/>
      <c r="N41" s="59"/>
      <c r="O41" s="59"/>
      <c r="P41" s="59"/>
      <c r="Q41" s="59"/>
      <c r="R41" s="59"/>
      <c r="S41" s="59"/>
      <c r="T41" s="59"/>
      <c r="U41" s="59"/>
      <c r="V41" s="59"/>
      <c r="W41" s="59"/>
      <c r="X41" s="59"/>
      <c r="Y41" s="59"/>
      <c r="AC41" s="263"/>
      <c r="AD41" s="338"/>
    </row>
    <row r="42" spans="1:30" s="53" customFormat="1" ht="12">
      <c r="A42" s="44"/>
      <c r="C42" s="63" t="s">
        <v>131</v>
      </c>
      <c r="D42" s="210"/>
      <c r="E42" s="217"/>
      <c r="F42" s="45"/>
      <c r="G42" s="59"/>
      <c r="H42" s="59"/>
      <c r="I42" s="59"/>
      <c r="J42" s="59"/>
      <c r="K42" s="59"/>
      <c r="L42" s="59"/>
      <c r="M42" s="59"/>
      <c r="N42" s="59"/>
      <c r="O42" s="59"/>
      <c r="P42" s="59"/>
      <c r="Q42" s="59"/>
      <c r="R42" s="59"/>
      <c r="S42" s="59"/>
      <c r="T42" s="59"/>
      <c r="U42" s="59"/>
      <c r="V42" s="59"/>
      <c r="W42" s="59"/>
      <c r="X42" s="59"/>
      <c r="Y42" s="59"/>
      <c r="AC42" s="263"/>
      <c r="AD42" s="338"/>
    </row>
    <row r="43" spans="1:30" s="53" customFormat="1" ht="12">
      <c r="A43" s="44"/>
      <c r="C43" s="226" t="s">
        <v>412</v>
      </c>
      <c r="D43" s="247">
        <f>50/3600</f>
        <v>1.3888888888888888E-2</v>
      </c>
      <c r="E43" s="217"/>
      <c r="F43" s="45"/>
      <c r="G43" s="59"/>
      <c r="H43" s="59"/>
      <c r="I43" s="59"/>
      <c r="J43" s="59"/>
      <c r="K43" s="59"/>
      <c r="L43" s="59"/>
      <c r="M43" s="59"/>
      <c r="N43" s="59"/>
      <c r="O43" s="59"/>
      <c r="P43" s="59"/>
      <c r="Q43" s="59"/>
      <c r="R43" s="59"/>
      <c r="S43" s="59"/>
      <c r="T43" s="59"/>
      <c r="U43" s="59"/>
      <c r="V43" s="59"/>
      <c r="W43" s="59"/>
      <c r="X43" s="59"/>
      <c r="Y43" s="59"/>
      <c r="AC43" s="263"/>
      <c r="AD43" s="338"/>
    </row>
    <row r="44" spans="1:30" s="53" customFormat="1" ht="12">
      <c r="A44" s="44"/>
      <c r="C44" s="224" t="s">
        <v>403</v>
      </c>
      <c r="D44" s="253">
        <v>26.21</v>
      </c>
      <c r="E44" s="217"/>
      <c r="F44" s="45"/>
      <c r="G44" s="59"/>
      <c r="H44" s="59"/>
      <c r="I44" s="59"/>
      <c r="J44" s="59"/>
      <c r="K44" s="59"/>
      <c r="L44" s="59"/>
      <c r="M44" s="59"/>
      <c r="N44" s="59"/>
      <c r="O44" s="59"/>
      <c r="P44" s="59"/>
      <c r="Q44" s="59"/>
      <c r="R44" s="59"/>
      <c r="S44" s="59"/>
      <c r="T44" s="59"/>
      <c r="U44" s="59"/>
      <c r="V44" s="59"/>
      <c r="W44" s="59"/>
      <c r="X44" s="59"/>
      <c r="Y44" s="59"/>
      <c r="AC44" s="263"/>
      <c r="AD44" s="338"/>
    </row>
    <row r="45" spans="1:30" s="53" customFormat="1" ht="12">
      <c r="A45" s="44"/>
      <c r="C45" s="62" t="s">
        <v>413</v>
      </c>
      <c r="D45" s="253"/>
      <c r="E45" s="217"/>
      <c r="F45" s="285">
        <v>0</v>
      </c>
      <c r="G45" s="316">
        <f t="shared" ref="G45:I45" si="1">$D$44*$D$43*G10</f>
        <v>136652.78043251153</v>
      </c>
      <c r="H45" s="316">
        <f t="shared" si="1"/>
        <v>276149.60268436396</v>
      </c>
      <c r="I45" s="316">
        <f t="shared" si="1"/>
        <v>278993.64450370474</v>
      </c>
      <c r="J45" s="316">
        <f t="shared" ref="J45:AC45" si="2">$D$44*$D$43*J10</f>
        <v>281837.68632304569</v>
      </c>
      <c r="K45" s="316">
        <f t="shared" si="2"/>
        <v>284681.72814238659</v>
      </c>
      <c r="L45" s="316">
        <f t="shared" si="2"/>
        <v>287525.76996172749</v>
      </c>
      <c r="M45" s="316">
        <f t="shared" si="2"/>
        <v>290369.81178106833</v>
      </c>
      <c r="N45" s="316">
        <f t="shared" si="2"/>
        <v>291254.25682649063</v>
      </c>
      <c r="O45" s="316">
        <f t="shared" si="2"/>
        <v>292138.70187191287</v>
      </c>
      <c r="P45" s="316">
        <f t="shared" si="2"/>
        <v>293023.14691733511</v>
      </c>
      <c r="Q45" s="316">
        <f t="shared" si="2"/>
        <v>293907.5919627574</v>
      </c>
      <c r="R45" s="316">
        <f t="shared" si="2"/>
        <v>294792.03700817964</v>
      </c>
      <c r="S45" s="316">
        <f t="shared" si="2"/>
        <v>295676.48205360194</v>
      </c>
      <c r="T45" s="316">
        <f t="shared" si="2"/>
        <v>296560.92709902418</v>
      </c>
      <c r="U45" s="316">
        <f t="shared" si="2"/>
        <v>297445.37214444648</v>
      </c>
      <c r="V45" s="316">
        <f t="shared" si="2"/>
        <v>298329.81718986871</v>
      </c>
      <c r="W45" s="316">
        <f t="shared" si="2"/>
        <v>299214.26223529101</v>
      </c>
      <c r="X45" s="316">
        <f t="shared" si="2"/>
        <v>300125.81047482247</v>
      </c>
      <c r="Y45" s="316">
        <f t="shared" si="2"/>
        <v>301037.35871435393</v>
      </c>
      <c r="Z45" s="316">
        <f t="shared" si="2"/>
        <v>301948.90695388545</v>
      </c>
      <c r="AA45" s="316">
        <f t="shared" si="2"/>
        <v>302860.45519341691</v>
      </c>
      <c r="AB45" s="316">
        <f t="shared" si="2"/>
        <v>303772.00343294838</v>
      </c>
      <c r="AC45" s="317">
        <f t="shared" si="2"/>
        <v>304683.55167247978</v>
      </c>
      <c r="AD45" s="344">
        <f t="shared" si="0"/>
        <v>6602981.7055796245</v>
      </c>
    </row>
    <row r="46" spans="1:30" s="53" customFormat="1" ht="12">
      <c r="A46" s="44"/>
      <c r="B46" s="44"/>
      <c r="D46" s="253"/>
      <c r="E46" s="217"/>
      <c r="G46" s="59"/>
      <c r="H46" s="59"/>
      <c r="I46" s="59"/>
      <c r="J46" s="59"/>
      <c r="K46" s="59"/>
      <c r="L46" s="59"/>
      <c r="M46" s="59"/>
      <c r="N46" s="59"/>
      <c r="O46" s="59"/>
      <c r="P46" s="59"/>
      <c r="Q46" s="59"/>
      <c r="R46" s="59"/>
      <c r="S46" s="59"/>
      <c r="T46" s="59"/>
      <c r="U46" s="59"/>
      <c r="V46" s="59"/>
      <c r="W46" s="59"/>
      <c r="X46" s="59"/>
      <c r="Y46" s="59"/>
      <c r="AC46" s="263"/>
      <c r="AD46" s="338"/>
    </row>
    <row r="47" spans="1:30" s="53" customFormat="1" ht="12">
      <c r="A47" s="44"/>
      <c r="B47" s="250" t="s">
        <v>446</v>
      </c>
      <c r="C47" s="54" t="s">
        <v>409</v>
      </c>
      <c r="D47" s="253"/>
      <c r="E47" s="217"/>
      <c r="F47" s="45">
        <f>F11</f>
        <v>0</v>
      </c>
      <c r="G47" s="45">
        <f t="shared" ref="G47:AC47" si="3">G11</f>
        <v>15015.643176101992</v>
      </c>
      <c r="H47" s="45">
        <f t="shared" si="3"/>
        <v>30343.794571956052</v>
      </c>
      <c r="I47" s="102">
        <f t="shared" si="3"/>
        <v>30656.302791708113</v>
      </c>
      <c r="J47" s="102">
        <f t="shared" si="3"/>
        <v>30968.811011460191</v>
      </c>
      <c r="K47" s="102">
        <f t="shared" si="3"/>
        <v>31281.319231212259</v>
      </c>
      <c r="L47" s="102">
        <f t="shared" si="3"/>
        <v>31593.827450964334</v>
      </c>
      <c r="M47" s="102">
        <f t="shared" si="3"/>
        <v>31906.335670716398</v>
      </c>
      <c r="N47" s="102">
        <f t="shared" si="3"/>
        <v>32003.520017561732</v>
      </c>
      <c r="O47" s="102">
        <f t="shared" si="3"/>
        <v>32100.704364407062</v>
      </c>
      <c r="P47" s="102">
        <f t="shared" si="3"/>
        <v>32197.888711252392</v>
      </c>
      <c r="Q47" s="102">
        <f t="shared" si="3"/>
        <v>32295.073058097725</v>
      </c>
      <c r="R47" s="102">
        <f t="shared" si="3"/>
        <v>32392.257404943055</v>
      </c>
      <c r="S47" s="102">
        <f t="shared" si="3"/>
        <v>32489.441751788385</v>
      </c>
      <c r="T47" s="102">
        <f t="shared" si="3"/>
        <v>32586.626098633718</v>
      </c>
      <c r="U47" s="102">
        <f t="shared" si="3"/>
        <v>32683.810445479048</v>
      </c>
      <c r="V47" s="102">
        <f t="shared" si="3"/>
        <v>32780.994792324374</v>
      </c>
      <c r="W47" s="102">
        <f t="shared" si="3"/>
        <v>32878.179139169712</v>
      </c>
      <c r="X47" s="102">
        <f t="shared" si="3"/>
        <v>32978.341631724099</v>
      </c>
      <c r="Y47" s="102">
        <f t="shared" si="3"/>
        <v>33078.504124278494</v>
      </c>
      <c r="Z47" s="102">
        <f t="shared" si="3"/>
        <v>33178.666616832888</v>
      </c>
      <c r="AA47" s="102">
        <f t="shared" si="3"/>
        <v>33278.829109387283</v>
      </c>
      <c r="AB47" s="102">
        <f t="shared" si="3"/>
        <v>33378.991601941678</v>
      </c>
      <c r="AC47" s="267">
        <f t="shared" si="3"/>
        <v>33479.154094496065</v>
      </c>
      <c r="AD47" s="343">
        <f t="shared" si="0"/>
        <v>725547.01686643693</v>
      </c>
    </row>
    <row r="48" spans="1:30" s="53" customFormat="1" ht="12">
      <c r="A48" s="44"/>
      <c r="B48" s="70"/>
      <c r="C48" s="63" t="s">
        <v>131</v>
      </c>
      <c r="D48" s="253"/>
      <c r="E48" s="217"/>
      <c r="F48" s="45"/>
      <c r="G48" s="45"/>
      <c r="H48" s="45"/>
      <c r="I48" s="45"/>
      <c r="J48" s="45"/>
      <c r="K48" s="45"/>
      <c r="L48" s="45"/>
      <c r="M48" s="45"/>
      <c r="N48" s="45"/>
      <c r="O48" s="45"/>
      <c r="P48" s="45"/>
      <c r="Q48" s="45"/>
      <c r="R48" s="45"/>
      <c r="S48" s="45"/>
      <c r="T48" s="45"/>
      <c r="U48" s="45"/>
      <c r="V48" s="45"/>
      <c r="W48" s="45"/>
      <c r="X48" s="45"/>
      <c r="Y48" s="45"/>
      <c r="Z48" s="45"/>
      <c r="AA48" s="45"/>
      <c r="AB48" s="45"/>
      <c r="AC48" s="263"/>
      <c r="AD48" s="338"/>
    </row>
    <row r="49" spans="1:30" s="53" customFormat="1" ht="12">
      <c r="A49" s="44"/>
      <c r="B49" s="70"/>
      <c r="C49" s="224" t="s">
        <v>387</v>
      </c>
      <c r="D49" s="548" t="s">
        <v>601</v>
      </c>
      <c r="E49" s="217"/>
      <c r="F49" s="298">
        <f>'Mode Operating Assumptions'!D29</f>
        <v>0.39100279786137265</v>
      </c>
      <c r="G49" s="298">
        <f>'Mode Operating Assumptions'!E29</f>
        <v>0.39205714599476826</v>
      </c>
      <c r="H49" s="298">
        <f>'Mode Operating Assumptions'!F29</f>
        <v>0.39311874523828177</v>
      </c>
      <c r="I49" s="298">
        <f>'Mode Operating Assumptions'!G29</f>
        <v>0.39418767065254157</v>
      </c>
      <c r="J49" s="298">
        <f>'Mode Operating Assumptions'!H29</f>
        <v>0.39526399833776032</v>
      </c>
      <c r="K49" s="298">
        <f>'Mode Operating Assumptions'!I29</f>
        <v>0.39634780545179538</v>
      </c>
      <c r="L49" s="298">
        <f>'Mode Operating Assumptions'!J29</f>
        <v>0.39743917022858699</v>
      </c>
      <c r="M49" s="298">
        <f>'Mode Operating Assumptions'!K29</f>
        <v>0.39853817199698321</v>
      </c>
      <c r="N49" s="298">
        <f>'Mode Operating Assumptions'!L29</f>
        <v>0.39964489119996166</v>
      </c>
      <c r="O49" s="298">
        <f>'Mode Operating Assumptions'!M29</f>
        <v>0.40075940941425758</v>
      </c>
      <c r="P49" s="298">
        <f>'Mode Operating Assumptions'!N29</f>
        <v>0.40188180937040846</v>
      </c>
      <c r="Q49" s="298">
        <f>'Mode Operating Assumptions'!O29</f>
        <v>0.40301217497322528</v>
      </c>
      <c r="R49" s="298">
        <f>'Mode Operating Assumptions'!P29</f>
        <v>0.40415059132270104</v>
      </c>
      <c r="S49" s="298">
        <f>'Mode Operating Assumptions'!Q29</f>
        <v>0.40529714473536788</v>
      </c>
      <c r="T49" s="298">
        <f>'Mode Operating Assumptions'!R29</f>
        <v>0.40645192276611369</v>
      </c>
      <c r="U49" s="298">
        <f>'Mode Operating Assumptions'!S29</f>
        <v>0.40761501423047014</v>
      </c>
      <c r="V49" s="298">
        <f>'Mode Operating Assumptions'!T29</f>
        <v>0.40878650922738302</v>
      </c>
      <c r="W49" s="298">
        <f>'Mode Operating Assumptions'!U29</f>
        <v>0.40996649916247907</v>
      </c>
      <c r="X49" s="298">
        <f>'Mode Operating Assumptions'!V29</f>
        <v>0.41115507677183999</v>
      </c>
      <c r="Y49" s="298">
        <f>'Mode Operating Assumptions'!W29</f>
        <v>0.41235233614629774</v>
      </c>
      <c r="Z49" s="298">
        <f>'Mode Operating Assumptions'!X29</f>
        <v>0.41355837275626389</v>
      </c>
      <c r="AA49" s="298">
        <f>'Mode Operating Assumptions'!Y29</f>
        <v>0.41477328347710757</v>
      </c>
      <c r="AB49" s="298">
        <f>'Mode Operating Assumptions'!Z29</f>
        <v>0.415997166615095</v>
      </c>
      <c r="AC49" s="301">
        <f>'Mode Operating Assumptions'!AA29</f>
        <v>0.41723012193390652</v>
      </c>
      <c r="AD49" s="345">
        <f t="shared" si="0"/>
        <v>9.6905878298649686</v>
      </c>
    </row>
    <row r="50" spans="1:30" s="53" customFormat="1" ht="12">
      <c r="A50" s="44"/>
      <c r="B50" s="70"/>
      <c r="C50" s="224" t="s">
        <v>404</v>
      </c>
      <c r="D50" s="248">
        <f>'Mode Operating Assumptions'!C150</f>
        <v>0.38127571701364549</v>
      </c>
      <c r="E50" s="217"/>
      <c r="F50" s="45"/>
      <c r="G50" s="45"/>
      <c r="H50" s="45"/>
      <c r="I50" s="45"/>
      <c r="J50" s="45"/>
      <c r="K50" s="45"/>
      <c r="L50" s="45"/>
      <c r="M50" s="45"/>
      <c r="N50" s="45"/>
      <c r="O50" s="45"/>
      <c r="P50" s="45"/>
      <c r="Q50" s="45"/>
      <c r="R50" s="45"/>
      <c r="S50" s="45"/>
      <c r="T50" s="45"/>
      <c r="U50" s="45"/>
      <c r="V50" s="45"/>
      <c r="W50" s="45"/>
      <c r="X50" s="45"/>
      <c r="Y50" s="45"/>
      <c r="Z50" s="45"/>
      <c r="AA50" s="45"/>
      <c r="AB50" s="45"/>
      <c r="AC50" s="263"/>
      <c r="AD50" s="338"/>
    </row>
    <row r="51" spans="1:30" s="53" customFormat="1" ht="12">
      <c r="A51" s="44"/>
      <c r="B51" s="70"/>
      <c r="C51" s="224" t="s">
        <v>405</v>
      </c>
      <c r="D51" s="248">
        <f>'Mode Operating Assumptions'!C52</f>
        <v>0.234375</v>
      </c>
      <c r="E51" s="217"/>
      <c r="F51" s="45"/>
      <c r="G51" s="45"/>
      <c r="H51" s="45"/>
      <c r="I51" s="45"/>
      <c r="J51" s="45"/>
      <c r="K51" s="45"/>
      <c r="L51" s="45"/>
      <c r="M51" s="45"/>
      <c r="N51" s="45"/>
      <c r="O51" s="45"/>
      <c r="P51" s="45"/>
      <c r="Q51" s="45"/>
      <c r="R51" s="45"/>
      <c r="S51" s="45"/>
      <c r="T51" s="45"/>
      <c r="U51" s="45"/>
      <c r="V51" s="45"/>
      <c r="W51" s="45"/>
      <c r="X51" s="45"/>
      <c r="Y51" s="45"/>
      <c r="Z51" s="45"/>
      <c r="AA51" s="45"/>
      <c r="AB51" s="45"/>
      <c r="AC51" s="263"/>
      <c r="AD51" s="338"/>
    </row>
    <row r="52" spans="1:30" s="53" customFormat="1" ht="12">
      <c r="A52" s="44"/>
      <c r="C52" s="224" t="s">
        <v>384</v>
      </c>
      <c r="D52" s="253">
        <f>'Price Assumptions'!B3</f>
        <v>12.5</v>
      </c>
      <c r="E52" s="217"/>
      <c r="F52" s="45"/>
      <c r="G52" s="45"/>
      <c r="H52" s="45"/>
      <c r="I52" s="45"/>
      <c r="J52" s="45"/>
      <c r="K52" s="45"/>
      <c r="L52" s="45"/>
      <c r="M52" s="45"/>
      <c r="N52" s="45"/>
      <c r="O52" s="45"/>
      <c r="P52" s="45"/>
      <c r="Q52" s="45"/>
      <c r="R52" s="45"/>
      <c r="S52" s="45"/>
      <c r="T52" s="45"/>
      <c r="U52" s="45"/>
      <c r="V52" s="45"/>
      <c r="W52" s="45"/>
      <c r="X52" s="45"/>
      <c r="Y52" s="45"/>
      <c r="Z52" s="45"/>
      <c r="AA52" s="45"/>
      <c r="AB52" s="45"/>
      <c r="AC52" s="263"/>
      <c r="AD52" s="338"/>
    </row>
    <row r="53" spans="1:30" s="53" customFormat="1" ht="12">
      <c r="A53" s="44"/>
      <c r="B53" s="70"/>
      <c r="C53" s="224" t="s">
        <v>385</v>
      </c>
      <c r="D53" s="253">
        <f>'Price Assumptions'!B5</f>
        <v>12.5</v>
      </c>
      <c r="E53" s="217"/>
      <c r="F53" s="45"/>
      <c r="G53" s="45"/>
      <c r="H53" s="45"/>
      <c r="I53" s="45"/>
      <c r="J53" s="45"/>
      <c r="K53" s="45"/>
      <c r="L53" s="45"/>
      <c r="M53" s="45"/>
      <c r="N53" s="45"/>
      <c r="O53" s="45"/>
      <c r="P53" s="45"/>
      <c r="Q53" s="45"/>
      <c r="R53" s="45"/>
      <c r="S53" s="45"/>
      <c r="T53" s="45"/>
      <c r="U53" s="45"/>
      <c r="V53" s="45"/>
      <c r="W53" s="45"/>
      <c r="X53" s="45"/>
      <c r="Y53" s="45"/>
      <c r="Z53" s="45"/>
      <c r="AA53" s="45"/>
      <c r="AB53" s="45"/>
      <c r="AC53" s="263"/>
      <c r="AD53" s="338"/>
    </row>
    <row r="54" spans="1:30" s="53" customFormat="1" ht="12">
      <c r="A54" s="44"/>
      <c r="B54" s="70"/>
      <c r="C54" s="224" t="s">
        <v>403</v>
      </c>
      <c r="D54" s="253">
        <f>'Price Assumptions'!B7</f>
        <v>23.9</v>
      </c>
      <c r="E54" s="217"/>
      <c r="F54" s="45"/>
      <c r="G54" s="45"/>
      <c r="H54" s="45"/>
      <c r="I54" s="45"/>
      <c r="J54" s="45"/>
      <c r="K54" s="45"/>
      <c r="L54" s="45"/>
      <c r="M54" s="45"/>
      <c r="N54" s="45"/>
      <c r="O54" s="45"/>
      <c r="P54" s="45"/>
      <c r="Q54" s="45"/>
      <c r="R54" s="45"/>
      <c r="S54" s="45"/>
      <c r="T54" s="45"/>
      <c r="U54" s="45"/>
      <c r="V54" s="45"/>
      <c r="W54" s="45"/>
      <c r="X54" s="45"/>
      <c r="Y54" s="45"/>
      <c r="Z54" s="45"/>
      <c r="AA54" s="45"/>
      <c r="AB54" s="45"/>
      <c r="AC54" s="263"/>
      <c r="AD54" s="338"/>
    </row>
    <row r="55" spans="1:30" s="53" customFormat="1" ht="12">
      <c r="A55" s="44"/>
      <c r="B55" s="70"/>
      <c r="C55" s="78" t="s">
        <v>400</v>
      </c>
      <c r="D55" s="253"/>
      <c r="E55" s="217"/>
      <c r="F55" s="255">
        <f>+(F49*$D$52)-($D$50*$D$53)-($D$51*$D$54)</f>
        <v>-5.479973989403411</v>
      </c>
      <c r="G55" s="255">
        <f>+(G49*$D$52)-($D$50*$D$53)-($D$51*$D$54)</f>
        <v>-5.4667946377359655</v>
      </c>
      <c r="H55" s="255">
        <f t="shared" ref="H55:AC55" si="4">+(H49*$D$52)-($D$50*$D$53)-($D$51*$D$54)</f>
        <v>-5.4535246471920464</v>
      </c>
      <c r="I55" s="255">
        <f t="shared" si="4"/>
        <v>-5.4401630795137992</v>
      </c>
      <c r="J55" s="255">
        <f t="shared" si="4"/>
        <v>-5.4267089834485649</v>
      </c>
      <c r="K55" s="255">
        <f t="shared" si="4"/>
        <v>-5.4131613945231267</v>
      </c>
      <c r="L55" s="255">
        <f t="shared" si="4"/>
        <v>-5.399519334813232</v>
      </c>
      <c r="M55" s="255">
        <f t="shared" si="4"/>
        <v>-5.385781812708279</v>
      </c>
      <c r="N55" s="255">
        <f t="shared" si="4"/>
        <v>-5.3719478226710482</v>
      </c>
      <c r="O55" s="255">
        <f t="shared" si="4"/>
        <v>-5.3580163449923495</v>
      </c>
      <c r="P55" s="255">
        <f t="shared" si="4"/>
        <v>-5.343986345540463</v>
      </c>
      <c r="Q55" s="255">
        <f t="shared" si="4"/>
        <v>-5.3298567755052533</v>
      </c>
      <c r="R55" s="255">
        <f t="shared" si="4"/>
        <v>-5.3156265711368063</v>
      </c>
      <c r="S55" s="255">
        <f t="shared" si="4"/>
        <v>-5.3012946534784708</v>
      </c>
      <c r="T55" s="255">
        <f t="shared" si="4"/>
        <v>-5.286859928094148</v>
      </c>
      <c r="U55" s="255">
        <f t="shared" si="4"/>
        <v>-5.2723212847896921</v>
      </c>
      <c r="V55" s="255">
        <f t="shared" si="4"/>
        <v>-5.2576775973282812</v>
      </c>
      <c r="W55" s="255">
        <f t="shared" si="4"/>
        <v>-5.242927723139581</v>
      </c>
      <c r="X55" s="255">
        <f t="shared" si="4"/>
        <v>-5.2280705030225691</v>
      </c>
      <c r="Y55" s="255">
        <f t="shared" si="4"/>
        <v>-5.2131047608418468</v>
      </c>
      <c r="Z55" s="255">
        <f t="shared" si="4"/>
        <v>-5.19802930321727</v>
      </c>
      <c r="AA55" s="255">
        <f t="shared" si="4"/>
        <v>-5.182842919206724</v>
      </c>
      <c r="AB55" s="255">
        <f t="shared" si="4"/>
        <v>-5.167544379981881</v>
      </c>
      <c r="AC55" s="268">
        <f t="shared" si="4"/>
        <v>-5.1521324384967375</v>
      </c>
      <c r="AD55" s="346">
        <f t="shared" si="0"/>
        <v>-127.68786723078153</v>
      </c>
    </row>
    <row r="56" spans="1:30" s="53" customFormat="1" ht="12">
      <c r="A56" s="44"/>
      <c r="B56" s="70"/>
      <c r="D56" s="253"/>
      <c r="E56" s="217"/>
      <c r="F56" s="255">
        <f>F55*F47</f>
        <v>0</v>
      </c>
      <c r="G56" s="255">
        <f t="shared" ref="G56:AC56" si="5">G55*G47</f>
        <v>-82087.437597271011</v>
      </c>
      <c r="H56" s="255">
        <f t="shared" si="5"/>
        <v>-165480.63158749457</v>
      </c>
      <c r="I56" s="255">
        <f t="shared" si="5"/>
        <v>-166775.28660184628</v>
      </c>
      <c r="J56" s="255">
        <f t="shared" si="5"/>
        <v>-168058.72492261184</v>
      </c>
      <c r="K56" s="255">
        <f t="shared" si="5"/>
        <v>-169330.82963215205</v>
      </c>
      <c r="L56" s="255">
        <f t="shared" si="5"/>
        <v>-170591.48218223496</v>
      </c>
      <c r="M56" s="255">
        <f t="shared" si="5"/>
        <v>-171840.5623655098</v>
      </c>
      <c r="N56" s="255">
        <f t="shared" si="5"/>
        <v>-171921.23967615006</v>
      </c>
      <c r="O56" s="255">
        <f t="shared" si="5"/>
        <v>-171996.09867026028</v>
      </c>
      <c r="P56" s="255">
        <f t="shared" si="5"/>
        <v>-172065.0776281642</v>
      </c>
      <c r="Q56" s="255">
        <f t="shared" si="5"/>
        <v>-172128.11395413932</v>
      </c>
      <c r="R56" s="255">
        <f t="shared" si="5"/>
        <v>-172185.14416081828</v>
      </c>
      <c r="S56" s="255">
        <f t="shared" si="5"/>
        <v>-172236.10385325598</v>
      </c>
      <c r="T56" s="255">
        <f t="shared" si="5"/>
        <v>-172280.92771265353</v>
      </c>
      <c r="U56" s="255">
        <f t="shared" si="5"/>
        <v>-172319.54947973086</v>
      </c>
      <c r="V56" s="255">
        <f t="shared" si="5"/>
        <v>-172351.9019377389</v>
      </c>
      <c r="W56" s="255">
        <f t="shared" si="5"/>
        <v>-172377.91689510233</v>
      </c>
      <c r="X56" s="255">
        <f t="shared" si="5"/>
        <v>-172413.09512341794</v>
      </c>
      <c r="Y56" s="255">
        <f t="shared" si="5"/>
        <v>-172441.70733180287</v>
      </c>
      <c r="Z56" s="255">
        <f t="shared" si="5"/>
        <v>-172463.68131597395</v>
      </c>
      <c r="AA56" s="255">
        <f t="shared" si="5"/>
        <v>-172478.94380907848</v>
      </c>
      <c r="AB56" s="255">
        <f t="shared" si="5"/>
        <v>-172487.42046207612</v>
      </c>
      <c r="AC56" s="268">
        <f t="shared" si="5"/>
        <v>-172489.03582368404</v>
      </c>
      <c r="AD56" s="346">
        <f t="shared" ref="AD56:AD91" si="6">SUM(F56:AC56)</f>
        <v>-3850800.9127231678</v>
      </c>
    </row>
    <row r="57" spans="1:30" s="53" customFormat="1" ht="12">
      <c r="A57" s="44"/>
      <c r="B57" s="70"/>
      <c r="C57" s="62" t="s">
        <v>413</v>
      </c>
      <c r="D57" s="210"/>
      <c r="E57" s="217"/>
      <c r="F57" s="289">
        <f>F56</f>
        <v>0</v>
      </c>
      <c r="G57" s="289">
        <f t="shared" ref="G57:AC57" si="7">G56</f>
        <v>-82087.437597271011</v>
      </c>
      <c r="H57" s="289">
        <f t="shared" si="7"/>
        <v>-165480.63158749457</v>
      </c>
      <c r="I57" s="289">
        <f t="shared" si="7"/>
        <v>-166775.28660184628</v>
      </c>
      <c r="J57" s="289">
        <f t="shared" si="7"/>
        <v>-168058.72492261184</v>
      </c>
      <c r="K57" s="289">
        <f t="shared" si="7"/>
        <v>-169330.82963215205</v>
      </c>
      <c r="L57" s="289">
        <f t="shared" si="7"/>
        <v>-170591.48218223496</v>
      </c>
      <c r="M57" s="289">
        <f t="shared" si="7"/>
        <v>-171840.5623655098</v>
      </c>
      <c r="N57" s="289">
        <f t="shared" si="7"/>
        <v>-171921.23967615006</v>
      </c>
      <c r="O57" s="289">
        <f t="shared" si="7"/>
        <v>-171996.09867026028</v>
      </c>
      <c r="P57" s="289">
        <f t="shared" si="7"/>
        <v>-172065.0776281642</v>
      </c>
      <c r="Q57" s="289">
        <f t="shared" si="7"/>
        <v>-172128.11395413932</v>
      </c>
      <c r="R57" s="289">
        <f t="shared" si="7"/>
        <v>-172185.14416081828</v>
      </c>
      <c r="S57" s="289">
        <f t="shared" si="7"/>
        <v>-172236.10385325598</v>
      </c>
      <c r="T57" s="289">
        <f t="shared" si="7"/>
        <v>-172280.92771265353</v>
      </c>
      <c r="U57" s="289">
        <f t="shared" si="7"/>
        <v>-172319.54947973086</v>
      </c>
      <c r="V57" s="289">
        <f t="shared" si="7"/>
        <v>-172351.9019377389</v>
      </c>
      <c r="W57" s="289">
        <f t="shared" si="7"/>
        <v>-172377.91689510233</v>
      </c>
      <c r="X57" s="289">
        <f t="shared" si="7"/>
        <v>-172413.09512341794</v>
      </c>
      <c r="Y57" s="289">
        <f t="shared" si="7"/>
        <v>-172441.70733180287</v>
      </c>
      <c r="Z57" s="289">
        <f t="shared" si="7"/>
        <v>-172463.68131597395</v>
      </c>
      <c r="AA57" s="289">
        <f t="shared" si="7"/>
        <v>-172478.94380907848</v>
      </c>
      <c r="AB57" s="289">
        <f t="shared" si="7"/>
        <v>-172487.42046207612</v>
      </c>
      <c r="AC57" s="318">
        <f t="shared" si="7"/>
        <v>-172489.03582368404</v>
      </c>
      <c r="AD57" s="347">
        <f t="shared" si="6"/>
        <v>-3850800.9127231678</v>
      </c>
    </row>
    <row r="58" spans="1:30" s="53" customFormat="1" ht="12">
      <c r="A58" s="44"/>
      <c r="B58" s="70"/>
      <c r="D58" s="210"/>
      <c r="E58" s="217"/>
      <c r="F58" s="233"/>
      <c r="G58" s="233"/>
      <c r="H58" s="233"/>
      <c r="I58" s="233"/>
      <c r="J58" s="233"/>
      <c r="K58" s="233"/>
      <c r="L58" s="233"/>
      <c r="M58" s="233"/>
      <c r="N58" s="233"/>
      <c r="O58" s="233"/>
      <c r="P58" s="233"/>
      <c r="Q58" s="233"/>
      <c r="R58" s="233"/>
      <c r="S58" s="233"/>
      <c r="T58" s="233"/>
      <c r="U58" s="233"/>
      <c r="V58" s="233"/>
      <c r="W58" s="233"/>
      <c r="X58" s="233"/>
      <c r="Y58" s="233"/>
      <c r="Z58" s="233"/>
      <c r="AA58" s="233"/>
      <c r="AB58" s="233"/>
      <c r="AC58" s="266"/>
      <c r="AD58" s="348"/>
    </row>
    <row r="59" spans="1:30" s="53" customFormat="1" ht="12">
      <c r="A59" s="44"/>
      <c r="B59" s="70"/>
      <c r="C59" s="63" t="s">
        <v>149</v>
      </c>
      <c r="D59" s="210"/>
      <c r="E59" s="217"/>
      <c r="F59" s="233"/>
      <c r="G59" s="233"/>
      <c r="H59" s="233"/>
      <c r="I59" s="233"/>
      <c r="J59" s="233"/>
      <c r="K59" s="233"/>
      <c r="L59" s="233"/>
      <c r="M59" s="233"/>
      <c r="N59" s="233"/>
      <c r="O59" s="233"/>
      <c r="P59" s="233"/>
      <c r="Q59" s="233"/>
      <c r="R59" s="233"/>
      <c r="S59" s="233"/>
      <c r="T59" s="233"/>
      <c r="U59" s="233"/>
      <c r="V59" s="233"/>
      <c r="W59" s="233"/>
      <c r="X59" s="233"/>
      <c r="Y59" s="233"/>
      <c r="Z59" s="233"/>
      <c r="AA59" s="233"/>
      <c r="AB59" s="233"/>
      <c r="AC59" s="266"/>
      <c r="AD59" s="348"/>
    </row>
    <row r="60" spans="1:30" s="53" customFormat="1" ht="12">
      <c r="A60" s="44"/>
      <c r="B60" s="70"/>
      <c r="C60" s="224" t="s">
        <v>472</v>
      </c>
      <c r="D60" s="253">
        <f>'Mode Operating Assumptions'!C33</f>
        <v>8.1905000000000001</v>
      </c>
      <c r="E60" s="217"/>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66"/>
      <c r="AD60" s="348"/>
    </row>
    <row r="61" spans="1:30" s="53" customFormat="1" ht="12">
      <c r="A61" s="44"/>
      <c r="B61" s="70"/>
      <c r="C61" s="225" t="s">
        <v>461</v>
      </c>
      <c r="D61" s="253">
        <f>'Mode Operating Assumptions'!C153</f>
        <v>2.107407271835358</v>
      </c>
      <c r="E61" s="217"/>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66"/>
      <c r="AD61" s="348"/>
    </row>
    <row r="62" spans="1:30" s="53" customFormat="1" ht="12">
      <c r="A62" s="44"/>
      <c r="B62" s="70"/>
      <c r="C62" s="224" t="s">
        <v>473</v>
      </c>
      <c r="D62" s="253">
        <v>0.05</v>
      </c>
      <c r="E62" s="217"/>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66"/>
      <c r="AD62" s="348"/>
    </row>
    <row r="63" spans="1:30" s="53" customFormat="1" ht="12">
      <c r="A63" s="44"/>
      <c r="B63" s="70"/>
      <c r="C63" s="78" t="s">
        <v>474</v>
      </c>
      <c r="D63" s="253">
        <f>+D60-D61-D62</f>
        <v>6.0330927281646423</v>
      </c>
      <c r="E63" s="217"/>
      <c r="F63" s="255">
        <f t="shared" ref="F63:AC63" si="8">$D63*F47</f>
        <v>0</v>
      </c>
      <c r="G63" s="255">
        <f t="shared" si="8"/>
        <v>90590.767654455965</v>
      </c>
      <c r="H63" s="255">
        <f t="shared" si="8"/>
        <v>183066.92637698981</v>
      </c>
      <c r="I63" s="255">
        <f t="shared" si="8"/>
        <v>184952.31744506763</v>
      </c>
      <c r="J63" s="255">
        <f t="shared" si="8"/>
        <v>186837.70851314557</v>
      </c>
      <c r="K63" s="255">
        <f t="shared" si="8"/>
        <v>188723.09958122345</v>
      </c>
      <c r="L63" s="255">
        <f t="shared" si="8"/>
        <v>190608.49064930138</v>
      </c>
      <c r="M63" s="255">
        <f t="shared" si="8"/>
        <v>192493.88171737923</v>
      </c>
      <c r="N63" s="255">
        <f t="shared" si="8"/>
        <v>193080.20389362326</v>
      </c>
      <c r="O63" s="255">
        <f t="shared" si="8"/>
        <v>193666.52606986725</v>
      </c>
      <c r="P63" s="255">
        <f t="shared" si="8"/>
        <v>194252.84824611124</v>
      </c>
      <c r="Q63" s="255">
        <f t="shared" si="8"/>
        <v>194839.17042235524</v>
      </c>
      <c r="R63" s="255">
        <f t="shared" si="8"/>
        <v>195425.49259859923</v>
      </c>
      <c r="S63" s="255">
        <f t="shared" si="8"/>
        <v>196011.81477484322</v>
      </c>
      <c r="T63" s="255">
        <f t="shared" si="8"/>
        <v>196598.13695108725</v>
      </c>
      <c r="U63" s="255">
        <f t="shared" si="8"/>
        <v>197184.45912733121</v>
      </c>
      <c r="V63" s="255">
        <f t="shared" si="8"/>
        <v>197770.7813035752</v>
      </c>
      <c r="W63" s="255">
        <f t="shared" si="8"/>
        <v>198357.10347981923</v>
      </c>
      <c r="X63" s="255">
        <f t="shared" si="8"/>
        <v>198961.39308528395</v>
      </c>
      <c r="Y63" s="255">
        <f t="shared" si="8"/>
        <v>199565.68269074871</v>
      </c>
      <c r="Z63" s="255">
        <f t="shared" si="8"/>
        <v>200169.97229621347</v>
      </c>
      <c r="AA63" s="255">
        <f t="shared" si="8"/>
        <v>200774.26190167823</v>
      </c>
      <c r="AB63" s="255">
        <f t="shared" si="8"/>
        <v>201378.55150714301</v>
      </c>
      <c r="AC63" s="268">
        <f t="shared" si="8"/>
        <v>201982.84111260771</v>
      </c>
      <c r="AD63" s="346">
        <f t="shared" si="6"/>
        <v>4377292.4313984504</v>
      </c>
    </row>
    <row r="64" spans="1:30" s="53" customFormat="1" ht="12">
      <c r="A64" s="44"/>
      <c r="B64" s="70"/>
      <c r="C64" s="62" t="s">
        <v>414</v>
      </c>
      <c r="D64" s="210"/>
      <c r="E64" s="217"/>
      <c r="F64" s="289">
        <f>F63</f>
        <v>0</v>
      </c>
      <c r="G64" s="289">
        <f t="shared" ref="G64:AC64" si="9">G63</f>
        <v>90590.767654455965</v>
      </c>
      <c r="H64" s="289">
        <f t="shared" si="9"/>
        <v>183066.92637698981</v>
      </c>
      <c r="I64" s="289">
        <f t="shared" si="9"/>
        <v>184952.31744506763</v>
      </c>
      <c r="J64" s="289">
        <f t="shared" si="9"/>
        <v>186837.70851314557</v>
      </c>
      <c r="K64" s="289">
        <f t="shared" si="9"/>
        <v>188723.09958122345</v>
      </c>
      <c r="L64" s="289">
        <f t="shared" si="9"/>
        <v>190608.49064930138</v>
      </c>
      <c r="M64" s="289">
        <f t="shared" si="9"/>
        <v>192493.88171737923</v>
      </c>
      <c r="N64" s="289">
        <f t="shared" si="9"/>
        <v>193080.20389362326</v>
      </c>
      <c r="O64" s="289">
        <f t="shared" si="9"/>
        <v>193666.52606986725</v>
      </c>
      <c r="P64" s="289">
        <f t="shared" si="9"/>
        <v>194252.84824611124</v>
      </c>
      <c r="Q64" s="289">
        <f t="shared" si="9"/>
        <v>194839.17042235524</v>
      </c>
      <c r="R64" s="289">
        <f t="shared" si="9"/>
        <v>195425.49259859923</v>
      </c>
      <c r="S64" s="289">
        <f t="shared" si="9"/>
        <v>196011.81477484322</v>
      </c>
      <c r="T64" s="289">
        <f t="shared" si="9"/>
        <v>196598.13695108725</v>
      </c>
      <c r="U64" s="289">
        <f t="shared" si="9"/>
        <v>197184.45912733121</v>
      </c>
      <c r="V64" s="289">
        <f t="shared" si="9"/>
        <v>197770.7813035752</v>
      </c>
      <c r="W64" s="289">
        <f t="shared" si="9"/>
        <v>198357.10347981923</v>
      </c>
      <c r="X64" s="289">
        <f t="shared" si="9"/>
        <v>198961.39308528395</v>
      </c>
      <c r="Y64" s="289">
        <f t="shared" si="9"/>
        <v>199565.68269074871</v>
      </c>
      <c r="Z64" s="289">
        <f t="shared" si="9"/>
        <v>200169.97229621347</v>
      </c>
      <c r="AA64" s="289">
        <f t="shared" si="9"/>
        <v>200774.26190167823</v>
      </c>
      <c r="AB64" s="289">
        <f t="shared" si="9"/>
        <v>201378.55150714301</v>
      </c>
      <c r="AC64" s="318">
        <f t="shared" si="9"/>
        <v>201982.84111260771</v>
      </c>
      <c r="AD64" s="347">
        <f t="shared" si="6"/>
        <v>4377292.4313984504</v>
      </c>
    </row>
    <row r="65" spans="1:30" s="53" customFormat="1" ht="12">
      <c r="A65" s="44"/>
      <c r="B65" s="70"/>
      <c r="C65" s="108"/>
      <c r="D65" s="210"/>
      <c r="E65" s="217"/>
      <c r="F65" s="45"/>
      <c r="G65" s="62"/>
      <c r="H65" s="59"/>
      <c r="I65" s="59"/>
      <c r="J65" s="59"/>
      <c r="K65" s="59"/>
      <c r="L65" s="59"/>
      <c r="M65" s="59"/>
      <c r="N65" s="59"/>
      <c r="O65" s="59"/>
      <c r="P65" s="59"/>
      <c r="Q65" s="59"/>
      <c r="R65" s="59"/>
      <c r="S65" s="59"/>
      <c r="T65" s="59"/>
      <c r="U65" s="59"/>
      <c r="V65" s="59"/>
      <c r="W65" s="59"/>
      <c r="X65" s="59"/>
      <c r="Y65" s="59"/>
      <c r="AC65" s="263"/>
      <c r="AD65" s="338"/>
    </row>
    <row r="66" spans="1:30" s="53" customFormat="1" ht="12">
      <c r="A66" s="44"/>
      <c r="B66" s="5" t="s">
        <v>261</v>
      </c>
      <c r="C66" s="55"/>
      <c r="D66" s="210"/>
      <c r="E66" s="217"/>
      <c r="F66" s="45"/>
      <c r="G66" s="59"/>
      <c r="H66" s="59"/>
      <c r="I66" s="59"/>
      <c r="J66" s="59"/>
      <c r="K66" s="59"/>
      <c r="L66" s="59"/>
      <c r="M66" s="59"/>
      <c r="N66" s="59"/>
      <c r="O66" s="59"/>
      <c r="P66" s="59"/>
      <c r="Q66" s="59"/>
      <c r="R66" s="59"/>
      <c r="S66" s="59"/>
      <c r="T66" s="59"/>
      <c r="U66" s="59"/>
      <c r="V66" s="59"/>
      <c r="W66" s="59"/>
      <c r="X66" s="59"/>
      <c r="Y66" s="59"/>
      <c r="AC66" s="263"/>
      <c r="AD66" s="338"/>
    </row>
    <row r="67" spans="1:30" s="53" customFormat="1" ht="12">
      <c r="A67" s="44"/>
      <c r="B67" s="70" t="s">
        <v>447</v>
      </c>
      <c r="C67" s="70" t="s">
        <v>350</v>
      </c>
      <c r="D67" s="210"/>
      <c r="E67" s="217"/>
      <c r="F67" s="45"/>
      <c r="G67" s="59"/>
      <c r="H67" s="59"/>
      <c r="I67" s="59"/>
      <c r="J67" s="59"/>
      <c r="K67" s="59"/>
      <c r="L67" s="59"/>
      <c r="M67" s="59"/>
      <c r="N67" s="59"/>
      <c r="O67" s="59"/>
      <c r="P67" s="59"/>
      <c r="Q67" s="59"/>
      <c r="R67" s="59"/>
      <c r="S67" s="59"/>
      <c r="T67" s="59"/>
      <c r="U67" s="59"/>
      <c r="V67" s="59"/>
      <c r="W67" s="59"/>
      <c r="X67" s="59"/>
      <c r="Y67" s="59"/>
      <c r="AC67" s="263"/>
      <c r="AD67" s="338"/>
    </row>
    <row r="68" spans="1:30" s="53" customFormat="1" ht="12">
      <c r="A68" s="44"/>
      <c r="C68" s="63" t="s">
        <v>131</v>
      </c>
      <c r="D68" s="210"/>
      <c r="E68" s="217"/>
      <c r="F68" s="45"/>
      <c r="G68" s="59"/>
      <c r="H68" s="59"/>
      <c r="I68" s="59"/>
      <c r="J68" s="59"/>
      <c r="K68" s="59"/>
      <c r="L68" s="59"/>
      <c r="M68" s="59"/>
      <c r="N68" s="59"/>
      <c r="O68" s="59"/>
      <c r="P68" s="59"/>
      <c r="Q68" s="59"/>
      <c r="R68" s="59"/>
      <c r="S68" s="59"/>
      <c r="T68" s="59"/>
      <c r="U68" s="59"/>
      <c r="V68" s="59"/>
      <c r="W68" s="59"/>
      <c r="X68" s="59"/>
      <c r="Y68" s="59"/>
      <c r="AC68" s="263"/>
      <c r="AD68" s="338"/>
    </row>
    <row r="69" spans="1:30" s="53" customFormat="1" ht="12">
      <c r="A69" s="44"/>
      <c r="B69" s="70"/>
      <c r="C69" s="226" t="s">
        <v>602</v>
      </c>
      <c r="D69" s="247">
        <f>20/3600</f>
        <v>5.5555555555555558E-3</v>
      </c>
      <c r="E69" s="217"/>
      <c r="F69" s="45"/>
      <c r="G69" s="59"/>
      <c r="H69" s="59"/>
      <c r="I69" s="59"/>
      <c r="J69" s="59"/>
      <c r="K69" s="59"/>
      <c r="L69" s="59"/>
      <c r="M69" s="59"/>
      <c r="N69" s="59"/>
      <c r="O69" s="59"/>
      <c r="P69" s="59"/>
      <c r="Q69" s="59"/>
      <c r="R69" s="59"/>
      <c r="S69" s="59"/>
      <c r="T69" s="59"/>
      <c r="U69" s="59"/>
      <c r="V69" s="59"/>
      <c r="W69" s="59"/>
      <c r="X69" s="59"/>
      <c r="Y69" s="59"/>
      <c r="AC69" s="263"/>
      <c r="AD69" s="338"/>
    </row>
    <row r="70" spans="1:30" s="53" customFormat="1" ht="12">
      <c r="A70" s="44"/>
      <c r="B70" s="70"/>
      <c r="C70" s="224" t="s">
        <v>422</v>
      </c>
      <c r="D70" s="253">
        <f>'Price Assumptions'!$B$3</f>
        <v>12.5</v>
      </c>
      <c r="E70" s="217"/>
      <c r="F70" s="45"/>
      <c r="G70" s="59"/>
      <c r="H70" s="59"/>
      <c r="I70" s="59"/>
      <c r="J70" s="59"/>
      <c r="K70" s="59"/>
      <c r="L70" s="59"/>
      <c r="M70" s="59"/>
      <c r="N70" s="59"/>
      <c r="O70" s="59"/>
      <c r="P70" s="59"/>
      <c r="Q70" s="59"/>
      <c r="R70" s="59"/>
      <c r="S70" s="59"/>
      <c r="T70" s="59"/>
      <c r="U70" s="59"/>
      <c r="V70" s="59"/>
      <c r="W70" s="59"/>
      <c r="X70" s="59"/>
      <c r="Y70" s="59"/>
      <c r="AC70" s="263"/>
      <c r="AD70" s="338"/>
    </row>
    <row r="71" spans="1:30" s="53" customFormat="1" ht="12">
      <c r="A71" s="44"/>
      <c r="B71" s="70"/>
      <c r="C71" s="62" t="s">
        <v>413</v>
      </c>
      <c r="D71" s="210"/>
      <c r="E71" s="217"/>
      <c r="F71" s="285">
        <f>($D$69)*$D$70*F15</f>
        <v>0</v>
      </c>
      <c r="G71" s="285">
        <f t="shared" ref="G71:AC71" si="10">($D$69)*$D$70*G15</f>
        <v>161.04666666666668</v>
      </c>
      <c r="H71" s="285">
        <f t="shared" si="10"/>
        <v>366.15570133333335</v>
      </c>
      <c r="I71" s="285">
        <f t="shared" si="10"/>
        <v>416.24580127573341</v>
      </c>
      <c r="J71" s="285">
        <f t="shared" si="10"/>
        <v>473.18822689025376</v>
      </c>
      <c r="K71" s="285">
        <f t="shared" si="10"/>
        <v>537.92037632884046</v>
      </c>
      <c r="L71" s="285">
        <f t="shared" si="10"/>
        <v>611.5078838106258</v>
      </c>
      <c r="M71" s="285">
        <f t="shared" si="10"/>
        <v>695.16216231591955</v>
      </c>
      <c r="N71" s="285">
        <f t="shared" si="10"/>
        <v>790.26034612073727</v>
      </c>
      <c r="O71" s="285">
        <f t="shared" si="10"/>
        <v>898.36796147005418</v>
      </c>
      <c r="P71" s="285">
        <f t="shared" si="10"/>
        <v>1021.2646985991577</v>
      </c>
      <c r="Q71" s="285">
        <f t="shared" si="10"/>
        <v>1160.9737093675224</v>
      </c>
      <c r="R71" s="285">
        <f t="shared" si="10"/>
        <v>1319.7949128089995</v>
      </c>
      <c r="S71" s="285">
        <f t="shared" si="10"/>
        <v>1500.3428568812706</v>
      </c>
      <c r="T71" s="285">
        <f t="shared" si="10"/>
        <v>1705.5897597026287</v>
      </c>
      <c r="U71" s="285">
        <f t="shared" si="10"/>
        <v>1938.9144388299485</v>
      </c>
      <c r="V71" s="285">
        <f t="shared" si="10"/>
        <v>2204.1579340618855</v>
      </c>
      <c r="W71" s="285">
        <f t="shared" si="10"/>
        <v>2505.6867394415517</v>
      </c>
      <c r="X71" s="285">
        <f t="shared" si="10"/>
        <v>2848.4646853971562</v>
      </c>
      <c r="Y71" s="285">
        <f t="shared" si="10"/>
        <v>3238.1346543594868</v>
      </c>
      <c r="Z71" s="285">
        <f t="shared" si="10"/>
        <v>3681.1114750758652</v>
      </c>
      <c r="AA71" s="285">
        <f t="shared" si="10"/>
        <v>4184.6875248662436</v>
      </c>
      <c r="AB71" s="285">
        <f t="shared" si="10"/>
        <v>4757.152778267945</v>
      </c>
      <c r="AC71" s="285">
        <f t="shared" si="10"/>
        <v>5407.9312783349997</v>
      </c>
      <c r="AD71" s="349">
        <f t="shared" si="6"/>
        <v>42424.062572206822</v>
      </c>
    </row>
    <row r="72" spans="1:30" s="53" customFormat="1" ht="12">
      <c r="A72" s="44"/>
      <c r="B72" s="70"/>
      <c r="D72" s="210"/>
      <c r="E72" s="217"/>
      <c r="F72" s="45"/>
      <c r="G72" s="59"/>
      <c r="H72" s="59"/>
      <c r="I72" s="59"/>
      <c r="J72" s="59"/>
      <c r="K72" s="59"/>
      <c r="L72" s="59"/>
      <c r="M72" s="59"/>
      <c r="N72" s="59"/>
      <c r="O72" s="59"/>
      <c r="P72" s="59"/>
      <c r="Q72" s="59"/>
      <c r="R72" s="59"/>
      <c r="S72" s="59"/>
      <c r="T72" s="59"/>
      <c r="U72" s="59"/>
      <c r="V72" s="59"/>
      <c r="W72" s="59"/>
      <c r="X72" s="59"/>
      <c r="Y72" s="59"/>
      <c r="AC72" s="263"/>
      <c r="AD72" s="338"/>
    </row>
    <row r="73" spans="1:30" s="53" customFormat="1" ht="12">
      <c r="A73" s="44"/>
      <c r="B73" s="70"/>
      <c r="D73" s="210"/>
      <c r="E73" s="217"/>
      <c r="F73" s="45"/>
      <c r="G73" s="59"/>
      <c r="H73" s="59"/>
      <c r="I73" s="59"/>
      <c r="J73" s="59"/>
      <c r="K73" s="59"/>
      <c r="L73" s="59"/>
      <c r="M73" s="59"/>
      <c r="N73" s="59"/>
      <c r="O73" s="59"/>
      <c r="P73" s="59"/>
      <c r="Q73" s="59"/>
      <c r="R73" s="59"/>
      <c r="S73" s="59"/>
      <c r="T73" s="59"/>
      <c r="U73" s="59"/>
      <c r="V73" s="59"/>
      <c r="W73" s="59"/>
      <c r="X73" s="59"/>
      <c r="Y73" s="59"/>
      <c r="AC73" s="263"/>
      <c r="AD73" s="338"/>
    </row>
    <row r="74" spans="1:30" s="53" customFormat="1" ht="12">
      <c r="A74" s="44"/>
      <c r="B74" s="250" t="s">
        <v>446</v>
      </c>
      <c r="C74" s="54" t="s">
        <v>410</v>
      </c>
      <c r="D74" s="210"/>
      <c r="E74" s="217"/>
      <c r="F74" s="45">
        <f>F16</f>
        <v>0</v>
      </c>
      <c r="G74" s="45">
        <f t="shared" ref="G74:AC74" si="11">G16</f>
        <v>92.76288000000001</v>
      </c>
      <c r="H74" s="45">
        <f t="shared" si="11"/>
        <v>210.90568396800001</v>
      </c>
      <c r="I74" s="244">
        <f t="shared" si="11"/>
        <v>239.75758153482244</v>
      </c>
      <c r="J74" s="244">
        <f t="shared" si="11"/>
        <v>272.55641868878615</v>
      </c>
      <c r="K74" s="244">
        <f t="shared" si="11"/>
        <v>309.84213676541208</v>
      </c>
      <c r="L74" s="244">
        <f t="shared" si="11"/>
        <v>352.22854107492043</v>
      </c>
      <c r="M74" s="244">
        <f t="shared" si="11"/>
        <v>400.41340549396961</v>
      </c>
      <c r="N74" s="244">
        <f t="shared" si="11"/>
        <v>455.18995936554467</v>
      </c>
      <c r="O74" s="244">
        <f t="shared" si="11"/>
        <v>517.45994580675119</v>
      </c>
      <c r="P74" s="244">
        <f t="shared" si="11"/>
        <v>588.24846639311477</v>
      </c>
      <c r="Q74" s="244">
        <f t="shared" si="11"/>
        <v>668.72085659569291</v>
      </c>
      <c r="R74" s="244">
        <f t="shared" si="11"/>
        <v>760.20186977798369</v>
      </c>
      <c r="S74" s="244">
        <f t="shared" si="11"/>
        <v>864.19748556361185</v>
      </c>
      <c r="T74" s="244">
        <f t="shared" si="11"/>
        <v>982.41970158871413</v>
      </c>
      <c r="U74" s="244">
        <f t="shared" si="11"/>
        <v>1116.8147167660502</v>
      </c>
      <c r="V74" s="244">
        <f t="shared" si="11"/>
        <v>1269.5949700196461</v>
      </c>
      <c r="W74" s="244">
        <f t="shared" si="11"/>
        <v>1443.2755619183338</v>
      </c>
      <c r="X74" s="244">
        <f t="shared" si="11"/>
        <v>1640.7156587887621</v>
      </c>
      <c r="Y74" s="244">
        <f t="shared" si="11"/>
        <v>1865.1655609110644</v>
      </c>
      <c r="Z74" s="244">
        <f t="shared" si="11"/>
        <v>2120.320209643698</v>
      </c>
      <c r="AA74" s="244">
        <f t="shared" si="11"/>
        <v>2410.3800143229564</v>
      </c>
      <c r="AB74" s="244">
        <f t="shared" si="11"/>
        <v>2740.1200002823362</v>
      </c>
      <c r="AC74" s="265">
        <f t="shared" si="11"/>
        <v>3114.9684163209599</v>
      </c>
      <c r="AD74" s="340">
        <f t="shared" si="6"/>
        <v>24436.260041591129</v>
      </c>
    </row>
    <row r="75" spans="1:30" s="53" customFormat="1" ht="12">
      <c r="A75" s="44"/>
      <c r="B75" s="70"/>
      <c r="C75" s="63" t="s">
        <v>131</v>
      </c>
      <c r="D75" s="210"/>
      <c r="E75" s="217"/>
      <c r="F75" s="45"/>
      <c r="G75" s="293"/>
      <c r="H75" s="293"/>
      <c r="I75" s="293"/>
      <c r="J75" s="293"/>
      <c r="K75" s="293"/>
      <c r="L75" s="293"/>
      <c r="M75" s="293"/>
      <c r="N75" s="293"/>
      <c r="O75" s="293"/>
      <c r="P75" s="293"/>
      <c r="Q75" s="293"/>
      <c r="R75" s="293"/>
      <c r="S75" s="293"/>
      <c r="T75" s="293"/>
      <c r="U75" s="293"/>
      <c r="V75" s="293"/>
      <c r="W75" s="293"/>
      <c r="X75" s="293"/>
      <c r="Y75" s="293"/>
      <c r="Z75" s="45"/>
      <c r="AA75" s="45"/>
      <c r="AB75" s="45"/>
      <c r="AC75" s="263"/>
      <c r="AD75" s="338"/>
    </row>
    <row r="76" spans="1:30" s="53" customFormat="1" ht="12">
      <c r="A76" s="44"/>
      <c r="B76" s="70"/>
      <c r="C76" s="224" t="s">
        <v>387</v>
      </c>
      <c r="D76" s="210" t="s">
        <v>601</v>
      </c>
      <c r="E76" s="217"/>
      <c r="F76" s="298">
        <f>F49</f>
        <v>0.39100279786137265</v>
      </c>
      <c r="G76" s="298">
        <f t="shared" ref="G76:AC76" si="12">G49</f>
        <v>0.39205714599476826</v>
      </c>
      <c r="H76" s="298">
        <f t="shared" si="12"/>
        <v>0.39311874523828177</v>
      </c>
      <c r="I76" s="298">
        <f t="shared" si="12"/>
        <v>0.39418767065254157</v>
      </c>
      <c r="J76" s="298">
        <f t="shared" si="12"/>
        <v>0.39526399833776032</v>
      </c>
      <c r="K76" s="298">
        <f t="shared" si="12"/>
        <v>0.39634780545179538</v>
      </c>
      <c r="L76" s="298">
        <f t="shared" si="12"/>
        <v>0.39743917022858699</v>
      </c>
      <c r="M76" s="298">
        <f t="shared" si="12"/>
        <v>0.39853817199698321</v>
      </c>
      <c r="N76" s="298">
        <f t="shared" si="12"/>
        <v>0.39964489119996166</v>
      </c>
      <c r="O76" s="298">
        <f t="shared" si="12"/>
        <v>0.40075940941425758</v>
      </c>
      <c r="P76" s="298">
        <f t="shared" si="12"/>
        <v>0.40188180937040846</v>
      </c>
      <c r="Q76" s="298">
        <f t="shared" si="12"/>
        <v>0.40301217497322528</v>
      </c>
      <c r="R76" s="298">
        <f t="shared" si="12"/>
        <v>0.40415059132270104</v>
      </c>
      <c r="S76" s="298">
        <f t="shared" si="12"/>
        <v>0.40529714473536788</v>
      </c>
      <c r="T76" s="298">
        <f t="shared" si="12"/>
        <v>0.40645192276611369</v>
      </c>
      <c r="U76" s="298">
        <f t="shared" si="12"/>
        <v>0.40761501423047014</v>
      </c>
      <c r="V76" s="298">
        <f t="shared" si="12"/>
        <v>0.40878650922738302</v>
      </c>
      <c r="W76" s="298">
        <f t="shared" si="12"/>
        <v>0.40996649916247907</v>
      </c>
      <c r="X76" s="298">
        <f t="shared" si="12"/>
        <v>0.41115507677183999</v>
      </c>
      <c r="Y76" s="298">
        <f t="shared" si="12"/>
        <v>0.41235233614629774</v>
      </c>
      <c r="Z76" s="298">
        <f t="shared" si="12"/>
        <v>0.41355837275626389</v>
      </c>
      <c r="AA76" s="298">
        <f t="shared" si="12"/>
        <v>0.41477328347710757</v>
      </c>
      <c r="AB76" s="298">
        <f t="shared" si="12"/>
        <v>0.415997166615095</v>
      </c>
      <c r="AC76" s="301">
        <f t="shared" si="12"/>
        <v>0.41723012193390652</v>
      </c>
      <c r="AD76" s="345">
        <f t="shared" si="6"/>
        <v>9.6905878298649686</v>
      </c>
    </row>
    <row r="77" spans="1:30" s="53" customFormat="1" ht="12">
      <c r="A77" s="44"/>
      <c r="B77" s="70"/>
      <c r="C77" s="224" t="s">
        <v>404</v>
      </c>
      <c r="D77" s="248">
        <f>D50</f>
        <v>0.38127571701364549</v>
      </c>
      <c r="E77" s="217"/>
      <c r="F77" s="45"/>
      <c r="G77" s="293"/>
      <c r="H77" s="293"/>
      <c r="I77" s="293"/>
      <c r="J77" s="293"/>
      <c r="K77" s="293"/>
      <c r="L77" s="293"/>
      <c r="M77" s="293"/>
      <c r="N77" s="293"/>
      <c r="O77" s="293"/>
      <c r="P77" s="293"/>
      <c r="Q77" s="293"/>
      <c r="R77" s="293"/>
      <c r="S77" s="293"/>
      <c r="T77" s="293"/>
      <c r="U77" s="293"/>
      <c r="V77" s="293"/>
      <c r="W77" s="293"/>
      <c r="X77" s="293"/>
      <c r="Y77" s="293"/>
      <c r="Z77" s="45"/>
      <c r="AA77" s="45"/>
      <c r="AB77" s="45"/>
      <c r="AC77" s="263"/>
      <c r="AD77" s="338"/>
    </row>
    <row r="78" spans="1:30" s="53" customFormat="1" ht="12">
      <c r="A78" s="44"/>
      <c r="B78" s="70"/>
      <c r="C78" s="224" t="s">
        <v>423</v>
      </c>
      <c r="D78" s="210">
        <f>'Mode Operating Assumptions'!C102</f>
        <v>0.17899999999999999</v>
      </c>
      <c r="E78" s="217"/>
      <c r="F78" s="45"/>
      <c r="G78" s="293"/>
      <c r="H78" s="293"/>
      <c r="I78" s="293"/>
      <c r="J78" s="293"/>
      <c r="K78" s="293"/>
      <c r="L78" s="293"/>
      <c r="M78" s="293"/>
      <c r="N78" s="293"/>
      <c r="O78" s="293"/>
      <c r="P78" s="293"/>
      <c r="Q78" s="293"/>
      <c r="R78" s="293"/>
      <c r="S78" s="293"/>
      <c r="T78" s="293"/>
      <c r="U78" s="293"/>
      <c r="V78" s="293"/>
      <c r="W78" s="293"/>
      <c r="X78" s="293"/>
      <c r="Y78" s="293"/>
      <c r="Z78" s="45"/>
      <c r="AA78" s="45"/>
      <c r="AB78" s="45"/>
      <c r="AC78" s="263"/>
      <c r="AD78" s="338"/>
    </row>
    <row r="79" spans="1:30" s="53" customFormat="1" ht="12">
      <c r="A79" s="44"/>
      <c r="B79" s="70"/>
      <c r="C79" s="224" t="s">
        <v>384</v>
      </c>
      <c r="D79" s="253">
        <f>D52</f>
        <v>12.5</v>
      </c>
      <c r="E79" s="217"/>
      <c r="F79" s="45"/>
      <c r="G79" s="293"/>
      <c r="H79" s="293"/>
      <c r="I79" s="293"/>
      <c r="J79" s="293"/>
      <c r="K79" s="293"/>
      <c r="L79" s="293"/>
      <c r="M79" s="293"/>
      <c r="N79" s="293"/>
      <c r="O79" s="293"/>
      <c r="P79" s="293"/>
      <c r="Q79" s="293"/>
      <c r="R79" s="293"/>
      <c r="S79" s="293"/>
      <c r="T79" s="293"/>
      <c r="U79" s="293"/>
      <c r="V79" s="293"/>
      <c r="W79" s="293"/>
      <c r="X79" s="293"/>
      <c r="Y79" s="293"/>
      <c r="Z79" s="45"/>
      <c r="AA79" s="45"/>
      <c r="AB79" s="45"/>
      <c r="AC79" s="263"/>
      <c r="AD79" s="338"/>
    </row>
    <row r="80" spans="1:30" s="53" customFormat="1" ht="12">
      <c r="A80" s="44"/>
      <c r="B80" s="70"/>
      <c r="C80" s="224" t="s">
        <v>385</v>
      </c>
      <c r="D80" s="253">
        <f t="shared" ref="D80" si="13">D53</f>
        <v>12.5</v>
      </c>
      <c r="E80" s="217"/>
      <c r="F80" s="45"/>
      <c r="G80" s="293"/>
      <c r="H80" s="293"/>
      <c r="I80" s="293"/>
      <c r="J80" s="293"/>
      <c r="K80" s="293"/>
      <c r="L80" s="293"/>
      <c r="M80" s="293"/>
      <c r="N80" s="293"/>
      <c r="O80" s="293"/>
      <c r="P80" s="293"/>
      <c r="Q80" s="293"/>
      <c r="R80" s="293"/>
      <c r="S80" s="293"/>
      <c r="T80" s="293"/>
      <c r="U80" s="293"/>
      <c r="V80" s="293"/>
      <c r="W80" s="293"/>
      <c r="X80" s="293"/>
      <c r="Y80" s="293"/>
      <c r="Z80" s="45"/>
      <c r="AA80" s="45"/>
      <c r="AB80" s="45"/>
      <c r="AC80" s="263"/>
      <c r="AD80" s="338"/>
    </row>
    <row r="81" spans="1:30" s="53" customFormat="1" ht="12">
      <c r="A81" s="44"/>
      <c r="B81" s="70"/>
      <c r="C81" s="224" t="s">
        <v>422</v>
      </c>
      <c r="D81" s="253">
        <f>'Mode Operating Assumptions'!C103</f>
        <v>12.5</v>
      </c>
      <c r="E81" s="217"/>
      <c r="F81" s="45"/>
      <c r="G81" s="293"/>
      <c r="H81" s="293"/>
      <c r="I81" s="293"/>
      <c r="J81" s="293"/>
      <c r="K81" s="293"/>
      <c r="L81" s="293"/>
      <c r="M81" s="293"/>
      <c r="N81" s="293"/>
      <c r="O81" s="293"/>
      <c r="P81" s="293"/>
      <c r="Q81" s="293"/>
      <c r="R81" s="293"/>
      <c r="S81" s="293"/>
      <c r="T81" s="293"/>
      <c r="U81" s="293"/>
      <c r="V81" s="293"/>
      <c r="W81" s="293"/>
      <c r="X81" s="293"/>
      <c r="Y81" s="293"/>
      <c r="Z81" s="45"/>
      <c r="AA81" s="45"/>
      <c r="AB81" s="45"/>
      <c r="AC81" s="263"/>
      <c r="AD81" s="338"/>
    </row>
    <row r="82" spans="1:30" s="53" customFormat="1" ht="12">
      <c r="A82" s="44"/>
      <c r="B82" s="70"/>
      <c r="C82" s="78" t="s">
        <v>424</v>
      </c>
      <c r="D82" s="210"/>
      <c r="E82" s="217"/>
      <c r="F82" s="255">
        <f>+(F76*$D$79)-($D$77*$D$80)-($D$78*$D$81)</f>
        <v>-2.1159114894034108</v>
      </c>
      <c r="G82" s="255">
        <f t="shared" ref="G82:AC82" si="14">+(G76*$D$79)-($D$77*$D$80)-($D$78*$D$81)</f>
        <v>-2.1027321377359653</v>
      </c>
      <c r="H82" s="255">
        <f t="shared" si="14"/>
        <v>-2.0894621471920463</v>
      </c>
      <c r="I82" s="255">
        <f t="shared" si="14"/>
        <v>-2.076100579513799</v>
      </c>
      <c r="J82" s="255">
        <f t="shared" si="14"/>
        <v>-2.0626464834485647</v>
      </c>
      <c r="K82" s="255">
        <f t="shared" si="14"/>
        <v>-2.0490988945231265</v>
      </c>
      <c r="L82" s="255">
        <f t="shared" si="14"/>
        <v>-2.0354568348132318</v>
      </c>
      <c r="M82" s="255">
        <f t="shared" si="14"/>
        <v>-2.0217193127082789</v>
      </c>
      <c r="N82" s="255">
        <f t="shared" si="14"/>
        <v>-2.007885322671048</v>
      </c>
      <c r="O82" s="255">
        <f t="shared" si="14"/>
        <v>-1.9939538449923493</v>
      </c>
      <c r="P82" s="255">
        <f t="shared" si="14"/>
        <v>-1.9799238455404629</v>
      </c>
      <c r="Q82" s="255">
        <f t="shared" si="14"/>
        <v>-1.9657942755052531</v>
      </c>
      <c r="R82" s="255">
        <f t="shared" si="14"/>
        <v>-1.9515640711368061</v>
      </c>
      <c r="S82" s="255">
        <f t="shared" si="14"/>
        <v>-1.9372321534784707</v>
      </c>
      <c r="T82" s="255">
        <f t="shared" si="14"/>
        <v>-1.9227974280941478</v>
      </c>
      <c r="U82" s="255">
        <f t="shared" si="14"/>
        <v>-1.9082587847896919</v>
      </c>
      <c r="V82" s="255">
        <f t="shared" si="14"/>
        <v>-1.893615097328281</v>
      </c>
      <c r="W82" s="255">
        <f t="shared" si="14"/>
        <v>-1.8788652231395808</v>
      </c>
      <c r="X82" s="255">
        <f t="shared" si="14"/>
        <v>-1.864008003022569</v>
      </c>
      <c r="Y82" s="255">
        <f t="shared" si="14"/>
        <v>-1.8490422608418466</v>
      </c>
      <c r="Z82" s="255">
        <f t="shared" si="14"/>
        <v>-1.8339668032172698</v>
      </c>
      <c r="AA82" s="255">
        <f t="shared" si="14"/>
        <v>-1.8187804192067238</v>
      </c>
      <c r="AB82" s="255">
        <f t="shared" si="14"/>
        <v>-1.8034818799818808</v>
      </c>
      <c r="AC82" s="268">
        <f t="shared" si="14"/>
        <v>-1.7880699384967373</v>
      </c>
      <c r="AD82" s="346">
        <f t="shared" si="6"/>
        <v>-46.950367230781552</v>
      </c>
    </row>
    <row r="83" spans="1:30">
      <c r="D83" s="210"/>
      <c r="E83" s="217"/>
      <c r="F83" s="255">
        <f>F82*F74</f>
        <v>0</v>
      </c>
      <c r="G83" s="255">
        <f t="shared" ref="G83:AC83" si="15">G82*G74</f>
        <v>-195.05548896494486</v>
      </c>
      <c r="H83" s="255">
        <f t="shared" si="15"/>
        <v>-440.67944327878439</v>
      </c>
      <c r="I83" s="255">
        <f t="shared" si="15"/>
        <v>-497.76085396727177</v>
      </c>
      <c r="J83" s="255">
        <f t="shared" si="15"/>
        <v>-562.18753854975944</v>
      </c>
      <c r="K83" s="255">
        <f t="shared" si="15"/>
        <v>-634.89717992268925</v>
      </c>
      <c r="L83" s="255">
        <f t="shared" si="15"/>
        <v>-716.9459913472399</v>
      </c>
      <c r="M83" s="255">
        <f t="shared" si="15"/>
        <v>-809.52351495444964</v>
      </c>
      <c r="N83" s="255">
        <f t="shared" si="15"/>
        <v>-913.96923843730792</v>
      </c>
      <c r="O83" s="255">
        <f t="shared" si="15"/>
        <v>-1031.7912485709041</v>
      </c>
      <c r="P83" s="255">
        <f t="shared" si="15"/>
        <v>-1164.6871657143356</v>
      </c>
      <c r="Q83" s="255">
        <f t="shared" si="15"/>
        <v>-1314.5676318067824</v>
      </c>
      <c r="R83" s="255">
        <f t="shared" si="15"/>
        <v>-1483.582655869734</v>
      </c>
      <c r="S83" s="255">
        <f t="shared" si="15"/>
        <v>-1674.1511559890753</v>
      </c>
      <c r="T83" s="255">
        <f t="shared" si="15"/>
        <v>-1888.9940755237997</v>
      </c>
      <c r="U83" s="255">
        <f t="shared" si="15"/>
        <v>-2131.1714942512267</v>
      </c>
      <c r="V83" s="255">
        <f t="shared" si="15"/>
        <v>-2404.1242027212484</v>
      </c>
      <c r="W83" s="255">
        <f t="shared" si="15"/>
        <v>-2711.7202606955939</v>
      </c>
      <c r="X83" s="255">
        <f t="shared" si="15"/>
        <v>-3058.3071186666989</v>
      </c>
      <c r="Y83" s="255">
        <f t="shared" si="15"/>
        <v>-3448.7699455913457</v>
      </c>
      <c r="Z83" s="255">
        <f t="shared" si="15"/>
        <v>-3888.5968766772244</v>
      </c>
      <c r="AA83" s="255">
        <f t="shared" si="15"/>
        <v>-4383.9519728978157</v>
      </c>
      <c r="AB83" s="255">
        <f t="shared" si="15"/>
        <v>-4941.7567694851396</v>
      </c>
      <c r="AC83" s="268">
        <f t="shared" si="15"/>
        <v>-5569.7813845902983</v>
      </c>
      <c r="AD83" s="346">
        <f t="shared" si="6"/>
        <v>-45866.973208473668</v>
      </c>
    </row>
    <row r="84" spans="1:30" s="53" customFormat="1" ht="12">
      <c r="A84" s="44"/>
      <c r="B84" s="70"/>
      <c r="C84" s="62" t="s">
        <v>413</v>
      </c>
      <c r="D84" s="210"/>
      <c r="E84" s="217"/>
      <c r="F84" s="289">
        <f>F83</f>
        <v>0</v>
      </c>
      <c r="G84" s="289">
        <f t="shared" ref="G84:AC84" si="16">G83</f>
        <v>-195.05548896494486</v>
      </c>
      <c r="H84" s="289">
        <f t="shared" si="16"/>
        <v>-440.67944327878439</v>
      </c>
      <c r="I84" s="289">
        <f t="shared" si="16"/>
        <v>-497.76085396727177</v>
      </c>
      <c r="J84" s="289">
        <f t="shared" si="16"/>
        <v>-562.18753854975944</v>
      </c>
      <c r="K84" s="289">
        <f t="shared" si="16"/>
        <v>-634.89717992268925</v>
      </c>
      <c r="L84" s="289">
        <f t="shared" si="16"/>
        <v>-716.9459913472399</v>
      </c>
      <c r="M84" s="289">
        <f t="shared" si="16"/>
        <v>-809.52351495444964</v>
      </c>
      <c r="N84" s="289">
        <f t="shared" si="16"/>
        <v>-913.96923843730792</v>
      </c>
      <c r="O84" s="289">
        <f t="shared" si="16"/>
        <v>-1031.7912485709041</v>
      </c>
      <c r="P84" s="289">
        <f t="shared" si="16"/>
        <v>-1164.6871657143356</v>
      </c>
      <c r="Q84" s="289">
        <f t="shared" si="16"/>
        <v>-1314.5676318067824</v>
      </c>
      <c r="R84" s="289">
        <f t="shared" si="16"/>
        <v>-1483.582655869734</v>
      </c>
      <c r="S84" s="289">
        <f t="shared" si="16"/>
        <v>-1674.1511559890753</v>
      </c>
      <c r="T84" s="289">
        <f t="shared" si="16"/>
        <v>-1888.9940755237997</v>
      </c>
      <c r="U84" s="289">
        <f t="shared" si="16"/>
        <v>-2131.1714942512267</v>
      </c>
      <c r="V84" s="289">
        <f t="shared" si="16"/>
        <v>-2404.1242027212484</v>
      </c>
      <c r="W84" s="289">
        <f t="shared" si="16"/>
        <v>-2711.7202606955939</v>
      </c>
      <c r="X84" s="289">
        <f t="shared" si="16"/>
        <v>-3058.3071186666989</v>
      </c>
      <c r="Y84" s="289">
        <f t="shared" si="16"/>
        <v>-3448.7699455913457</v>
      </c>
      <c r="Z84" s="289">
        <f t="shared" si="16"/>
        <v>-3888.5968766772244</v>
      </c>
      <c r="AA84" s="289">
        <f t="shared" si="16"/>
        <v>-4383.9519728978157</v>
      </c>
      <c r="AB84" s="289">
        <f t="shared" si="16"/>
        <v>-4941.7567694851396</v>
      </c>
      <c r="AC84" s="318">
        <f t="shared" si="16"/>
        <v>-5569.7813845902983</v>
      </c>
      <c r="AD84" s="347">
        <f t="shared" si="6"/>
        <v>-45866.973208473668</v>
      </c>
    </row>
    <row r="85" spans="1:30" s="53" customFormat="1" ht="12">
      <c r="A85" s="44"/>
      <c r="B85" s="70"/>
      <c r="C85" s="62"/>
      <c r="D85" s="210"/>
      <c r="E85" s="217"/>
      <c r="F85" s="45"/>
      <c r="G85" s="59"/>
      <c r="H85" s="59"/>
      <c r="I85" s="59"/>
      <c r="J85" s="59"/>
      <c r="K85" s="59"/>
      <c r="L85" s="59"/>
      <c r="M85" s="59"/>
      <c r="N85" s="59"/>
      <c r="O85" s="59"/>
      <c r="P85" s="59"/>
      <c r="Q85" s="59"/>
      <c r="R85" s="59"/>
      <c r="S85" s="59"/>
      <c r="T85" s="59"/>
      <c r="U85" s="59"/>
      <c r="V85" s="59"/>
      <c r="W85" s="59"/>
      <c r="X85" s="59"/>
      <c r="Y85" s="59"/>
      <c r="AC85" s="263"/>
      <c r="AD85" s="338"/>
    </row>
    <row r="86" spans="1:30" s="53" customFormat="1" ht="12">
      <c r="A86" s="44"/>
      <c r="B86" s="70"/>
      <c r="C86" s="63" t="s">
        <v>149</v>
      </c>
      <c r="D86" s="210"/>
      <c r="E86" s="217"/>
      <c r="F86" s="45"/>
      <c r="G86" s="59"/>
      <c r="H86" s="59"/>
      <c r="I86" s="59"/>
      <c r="J86" s="59"/>
      <c r="K86" s="59"/>
      <c r="L86" s="59"/>
      <c r="M86" s="59"/>
      <c r="N86" s="59"/>
      <c r="O86" s="59"/>
      <c r="P86" s="59"/>
      <c r="Q86" s="59"/>
      <c r="R86" s="59"/>
      <c r="S86" s="59"/>
      <c r="T86" s="59"/>
      <c r="U86" s="59"/>
      <c r="V86" s="59"/>
      <c r="W86" s="59"/>
      <c r="X86" s="59"/>
      <c r="Y86" s="59"/>
      <c r="AC86" s="263"/>
      <c r="AD86" s="338"/>
    </row>
    <row r="87" spans="1:30" s="53" customFormat="1" ht="12">
      <c r="A87" s="44"/>
      <c r="B87" s="70"/>
      <c r="C87" s="224" t="s">
        <v>430</v>
      </c>
      <c r="D87" s="253">
        <f>D60</f>
        <v>8.1905000000000001</v>
      </c>
      <c r="E87" s="217"/>
      <c r="F87" s="45"/>
      <c r="G87" s="59"/>
      <c r="H87" s="59"/>
      <c r="I87" s="59"/>
      <c r="J87" s="59"/>
      <c r="K87" s="59"/>
      <c r="L87" s="59"/>
      <c r="M87" s="59"/>
      <c r="N87" s="59"/>
      <c r="O87" s="59"/>
      <c r="P87" s="59"/>
      <c r="Q87" s="59"/>
      <c r="R87" s="59"/>
      <c r="S87" s="59"/>
      <c r="T87" s="59"/>
      <c r="U87" s="59"/>
      <c r="V87" s="59"/>
      <c r="W87" s="59"/>
      <c r="X87" s="59"/>
      <c r="Y87" s="59"/>
      <c r="AC87" s="263"/>
      <c r="AD87" s="338"/>
    </row>
    <row r="88" spans="1:30" s="53" customFormat="1" ht="12">
      <c r="A88" s="44"/>
      <c r="B88" s="70"/>
      <c r="C88" s="225" t="s">
        <v>386</v>
      </c>
      <c r="D88" s="253">
        <f t="shared" ref="D88" si="17">D61</f>
        <v>2.107407271835358</v>
      </c>
      <c r="E88" s="217"/>
      <c r="F88" s="45"/>
      <c r="G88" s="59"/>
      <c r="H88" s="59"/>
      <c r="I88" s="59"/>
      <c r="J88" s="59"/>
      <c r="K88" s="59"/>
      <c r="L88" s="59"/>
      <c r="M88" s="59"/>
      <c r="N88" s="59"/>
      <c r="O88" s="59"/>
      <c r="P88" s="59"/>
      <c r="Q88" s="59"/>
      <c r="R88" s="59"/>
      <c r="S88" s="59"/>
      <c r="T88" s="59"/>
      <c r="U88" s="59"/>
      <c r="V88" s="59"/>
      <c r="W88" s="59"/>
      <c r="X88" s="59"/>
      <c r="Y88" s="59"/>
      <c r="AC88" s="263"/>
      <c r="AD88" s="338"/>
    </row>
    <row r="89" spans="1:30" s="53" customFormat="1" ht="12">
      <c r="A89" s="44"/>
      <c r="B89" s="70"/>
      <c r="C89" s="225" t="s">
        <v>398</v>
      </c>
      <c r="D89" s="253">
        <v>0.1</v>
      </c>
      <c r="E89" s="217"/>
      <c r="F89" s="45"/>
      <c r="G89" s="59"/>
      <c r="H89" s="59"/>
      <c r="I89" s="59"/>
      <c r="J89" s="59"/>
      <c r="K89" s="59"/>
      <c r="L89" s="59"/>
      <c r="M89" s="59"/>
      <c r="N89" s="59"/>
      <c r="O89" s="59"/>
      <c r="P89" s="59"/>
      <c r="Q89" s="59"/>
      <c r="R89" s="59"/>
      <c r="S89" s="59"/>
      <c r="T89" s="59"/>
      <c r="U89" s="59"/>
      <c r="V89" s="59"/>
      <c r="W89" s="59"/>
      <c r="X89" s="59"/>
      <c r="Y89" s="59"/>
      <c r="AC89" s="263"/>
      <c r="AD89" s="338"/>
    </row>
    <row r="90" spans="1:30" s="53" customFormat="1" ht="12">
      <c r="A90" s="44"/>
      <c r="B90" s="70"/>
      <c r="C90" s="78" t="s">
        <v>425</v>
      </c>
      <c r="D90" s="253">
        <f>+D87-D88-D89</f>
        <v>5.9830927281646424</v>
      </c>
      <c r="E90" s="217"/>
      <c r="F90" s="233">
        <f t="shared" ref="F90:AC90" si="18">$D90*F74</f>
        <v>0</v>
      </c>
      <c r="G90" s="233">
        <f t="shared" si="18"/>
        <v>555.0089127716094</v>
      </c>
      <c r="H90" s="233">
        <f t="shared" si="18"/>
        <v>1261.868264077531</v>
      </c>
      <c r="I90" s="233">
        <f t="shared" si="18"/>
        <v>1434.4918426033375</v>
      </c>
      <c r="J90" s="233">
        <f t="shared" si="18"/>
        <v>1630.7303266714741</v>
      </c>
      <c r="K90" s="233">
        <f t="shared" si="18"/>
        <v>1853.8142353601315</v>
      </c>
      <c r="L90" s="233">
        <f t="shared" si="18"/>
        <v>2107.4160227573975</v>
      </c>
      <c r="M90" s="233">
        <f t="shared" si="18"/>
        <v>2395.7105346706098</v>
      </c>
      <c r="N90" s="233">
        <f t="shared" si="18"/>
        <v>2723.4437358135492</v>
      </c>
      <c r="O90" s="233">
        <f t="shared" si="18"/>
        <v>3096.0108388728431</v>
      </c>
      <c r="P90" s="233">
        <f t="shared" si="18"/>
        <v>3519.5451216306478</v>
      </c>
      <c r="Q90" s="233">
        <f t="shared" si="18"/>
        <v>4001.0188942697209</v>
      </c>
      <c r="R90" s="233">
        <f t="shared" si="18"/>
        <v>4548.358279005819</v>
      </c>
      <c r="S90" s="233">
        <f t="shared" si="18"/>
        <v>5170.5736915738144</v>
      </c>
      <c r="T90" s="233">
        <f t="shared" si="18"/>
        <v>5877.9081725811138</v>
      </c>
      <c r="U90" s="233">
        <f t="shared" si="18"/>
        <v>6682.0060105902094</v>
      </c>
      <c r="V90" s="233">
        <f t="shared" si="18"/>
        <v>7596.1044328389517</v>
      </c>
      <c r="W90" s="233">
        <f t="shared" si="18"/>
        <v>8635.2515192513201</v>
      </c>
      <c r="X90" s="233">
        <f t="shared" si="18"/>
        <v>9816.553927084904</v>
      </c>
      <c r="Y90" s="233">
        <f t="shared" si="18"/>
        <v>11159.458504310116</v>
      </c>
      <c r="Z90" s="233">
        <f t="shared" si="18"/>
        <v>12686.072427699741</v>
      </c>
      <c r="AA90" s="233">
        <f t="shared" si="18"/>
        <v>14421.527135809067</v>
      </c>
      <c r="AB90" s="233">
        <f t="shared" si="18"/>
        <v>16394.392047987745</v>
      </c>
      <c r="AC90" s="266">
        <f t="shared" si="18"/>
        <v>18637.144880152468</v>
      </c>
      <c r="AD90" s="348">
        <f t="shared" si="6"/>
        <v>146204.40975838411</v>
      </c>
    </row>
    <row r="91" spans="1:30" s="53" customFormat="1" ht="12">
      <c r="A91" s="44"/>
      <c r="C91" s="62" t="s">
        <v>414</v>
      </c>
      <c r="D91" s="210"/>
      <c r="E91" s="217"/>
      <c r="F91" s="285">
        <f>F90</f>
        <v>0</v>
      </c>
      <c r="G91" s="285">
        <f t="shared" ref="G91:AC91" si="19">G90</f>
        <v>555.0089127716094</v>
      </c>
      <c r="H91" s="285">
        <f t="shared" si="19"/>
        <v>1261.868264077531</v>
      </c>
      <c r="I91" s="285">
        <f t="shared" si="19"/>
        <v>1434.4918426033375</v>
      </c>
      <c r="J91" s="285">
        <f t="shared" si="19"/>
        <v>1630.7303266714741</v>
      </c>
      <c r="K91" s="285">
        <f t="shared" si="19"/>
        <v>1853.8142353601315</v>
      </c>
      <c r="L91" s="285">
        <f t="shared" si="19"/>
        <v>2107.4160227573975</v>
      </c>
      <c r="M91" s="285">
        <f t="shared" si="19"/>
        <v>2395.7105346706098</v>
      </c>
      <c r="N91" s="285">
        <f t="shared" si="19"/>
        <v>2723.4437358135492</v>
      </c>
      <c r="O91" s="285">
        <f t="shared" si="19"/>
        <v>3096.0108388728431</v>
      </c>
      <c r="P91" s="285">
        <f t="shared" si="19"/>
        <v>3519.5451216306478</v>
      </c>
      <c r="Q91" s="285">
        <f t="shared" si="19"/>
        <v>4001.0188942697209</v>
      </c>
      <c r="R91" s="285">
        <f t="shared" si="19"/>
        <v>4548.358279005819</v>
      </c>
      <c r="S91" s="285">
        <f t="shared" si="19"/>
        <v>5170.5736915738144</v>
      </c>
      <c r="T91" s="285">
        <f t="shared" si="19"/>
        <v>5877.9081725811138</v>
      </c>
      <c r="U91" s="285">
        <f t="shared" si="19"/>
        <v>6682.0060105902094</v>
      </c>
      <c r="V91" s="285">
        <f t="shared" si="19"/>
        <v>7596.1044328389517</v>
      </c>
      <c r="W91" s="285">
        <f t="shared" si="19"/>
        <v>8635.2515192513201</v>
      </c>
      <c r="X91" s="285">
        <f t="shared" si="19"/>
        <v>9816.553927084904</v>
      </c>
      <c r="Y91" s="285">
        <f t="shared" si="19"/>
        <v>11159.458504310116</v>
      </c>
      <c r="Z91" s="285">
        <f t="shared" si="19"/>
        <v>12686.072427699741</v>
      </c>
      <c r="AA91" s="285">
        <f t="shared" si="19"/>
        <v>14421.527135809067</v>
      </c>
      <c r="AB91" s="285">
        <f t="shared" si="19"/>
        <v>16394.392047987745</v>
      </c>
      <c r="AC91" s="286">
        <f t="shared" si="19"/>
        <v>18637.144880152468</v>
      </c>
      <c r="AD91" s="348">
        <f t="shared" si="6"/>
        <v>146204.40975838411</v>
      </c>
    </row>
    <row r="92" spans="1:30" s="53" customFormat="1" ht="12">
      <c r="A92" s="44"/>
      <c r="B92" s="70"/>
      <c r="D92" s="210"/>
      <c r="E92" s="217"/>
      <c r="F92" s="45"/>
      <c r="G92" s="59"/>
      <c r="H92" s="59"/>
      <c r="I92" s="59"/>
      <c r="J92" s="59"/>
      <c r="K92" s="59"/>
      <c r="L92" s="59"/>
      <c r="M92" s="59"/>
      <c r="N92" s="59"/>
      <c r="O92" s="59"/>
      <c r="P92" s="59"/>
      <c r="Q92" s="59"/>
      <c r="R92" s="59"/>
      <c r="S92" s="59"/>
      <c r="T92" s="59"/>
      <c r="U92" s="59"/>
      <c r="V92" s="59"/>
      <c r="W92" s="59"/>
      <c r="X92" s="59"/>
      <c r="Y92" s="59"/>
      <c r="AC92" s="263"/>
      <c r="AD92" s="338"/>
    </row>
    <row r="93" spans="1:30" s="53" customFormat="1" ht="12">
      <c r="A93" s="64"/>
      <c r="B93" s="64"/>
      <c r="D93" s="209"/>
      <c r="E93" s="217"/>
      <c r="F93" s="45"/>
      <c r="G93" s="57"/>
      <c r="AC93" s="263"/>
      <c r="AD93" s="338"/>
    </row>
    <row r="94" spans="1:30" s="53" customFormat="1" ht="12">
      <c r="A94" s="45"/>
      <c r="B94" s="45"/>
      <c r="C94" s="64" t="s">
        <v>94</v>
      </c>
      <c r="D94" s="209"/>
      <c r="E94" s="217"/>
      <c r="F94" s="45"/>
      <c r="G94" s="57"/>
      <c r="AC94" s="263"/>
      <c r="AD94" s="338"/>
    </row>
    <row r="95" spans="1:30" s="53" customFormat="1" ht="12">
      <c r="A95" s="45"/>
      <c r="B95" s="45"/>
      <c r="C95" s="55" t="s">
        <v>484</v>
      </c>
      <c r="D95" s="259">
        <v>0.5</v>
      </c>
      <c r="E95" s="217"/>
      <c r="F95" s="45"/>
      <c r="G95" s="57"/>
      <c r="AC95" s="263"/>
      <c r="AD95" s="338"/>
    </row>
    <row r="96" spans="1:30" s="53" customFormat="1" ht="12">
      <c r="A96" s="45"/>
      <c r="B96" s="45"/>
      <c r="C96" s="78"/>
      <c r="D96" s="209"/>
      <c r="E96" s="217"/>
      <c r="F96" s="45"/>
      <c r="G96" s="57"/>
      <c r="AC96" s="263"/>
      <c r="AD96" s="338"/>
    </row>
    <row r="97" spans="1:30" s="53" customFormat="1" ht="12">
      <c r="A97" s="44"/>
      <c r="B97" s="5" t="s">
        <v>351</v>
      </c>
      <c r="C97" s="78" t="s">
        <v>402</v>
      </c>
      <c r="D97" s="253"/>
      <c r="E97" s="217"/>
      <c r="F97" s="45">
        <f>F12</f>
        <v>0</v>
      </c>
      <c r="G97" s="45">
        <f t="shared" ref="G97:AC97" si="20">G12</f>
        <v>11261.732382076492</v>
      </c>
      <c r="H97" s="45">
        <f t="shared" si="20"/>
        <v>22757.845928967039</v>
      </c>
      <c r="I97" s="45">
        <f t="shared" si="20"/>
        <v>22992.227093781083</v>
      </c>
      <c r="J97" s="45">
        <f t="shared" si="20"/>
        <v>23226.608258595141</v>
      </c>
      <c r="K97" s="45">
        <f t="shared" si="20"/>
        <v>23460.989423409195</v>
      </c>
      <c r="L97" s="45">
        <f t="shared" si="20"/>
        <v>23695.37058822325</v>
      </c>
      <c r="M97" s="45">
        <f t="shared" si="20"/>
        <v>23929.751753037297</v>
      </c>
      <c r="N97" s="45">
        <f t="shared" si="20"/>
        <v>24002.640013171298</v>
      </c>
      <c r="O97" s="45">
        <f t="shared" si="20"/>
        <v>24075.528273305295</v>
      </c>
      <c r="P97" s="45">
        <f t="shared" si="20"/>
        <v>24148.416533439293</v>
      </c>
      <c r="Q97" s="45">
        <f t="shared" si="20"/>
        <v>24221.304793573294</v>
      </c>
      <c r="R97" s="45">
        <f t="shared" si="20"/>
        <v>24294.193053707288</v>
      </c>
      <c r="S97" s="45">
        <f t="shared" si="20"/>
        <v>24367.081313841289</v>
      </c>
      <c r="T97" s="45">
        <f t="shared" si="20"/>
        <v>24439.969573975286</v>
      </c>
      <c r="U97" s="45">
        <f t="shared" si="20"/>
        <v>24512.857834109283</v>
      </c>
      <c r="V97" s="45">
        <f t="shared" si="20"/>
        <v>24585.746094243281</v>
      </c>
      <c r="W97" s="45">
        <f t="shared" si="20"/>
        <v>24658.634354377282</v>
      </c>
      <c r="X97" s="45">
        <f t="shared" si="20"/>
        <v>24733.756223793072</v>
      </c>
      <c r="Y97" s="45">
        <f t="shared" si="20"/>
        <v>24808.878093208867</v>
      </c>
      <c r="Z97" s="45">
        <f t="shared" si="20"/>
        <v>24883.999962624664</v>
      </c>
      <c r="AA97" s="45">
        <f t="shared" si="20"/>
        <v>24959.121832040459</v>
      </c>
      <c r="AB97" s="45">
        <f t="shared" si="20"/>
        <v>25034.243701456253</v>
      </c>
      <c r="AC97" s="263">
        <f t="shared" si="20"/>
        <v>25109.365570872047</v>
      </c>
      <c r="AD97" s="338">
        <f t="shared" ref="AD97:AD106" si="21">SUM(F97:AC97)</f>
        <v>544160.26264982787</v>
      </c>
    </row>
    <row r="98" spans="1:30" s="53" customFormat="1" ht="12">
      <c r="A98" s="44"/>
      <c r="B98" s="5"/>
      <c r="C98" s="78" t="s">
        <v>401</v>
      </c>
      <c r="D98" s="253"/>
      <c r="E98" s="217"/>
      <c r="F98" s="255">
        <f>$D$95*F55</f>
        <v>-2.7399869947017055</v>
      </c>
      <c r="G98" s="255">
        <f t="shared" ref="G98:AC98" si="22">$D$95*G55</f>
        <v>-2.7333973188679828</v>
      </c>
      <c r="H98" s="255">
        <f t="shared" si="22"/>
        <v>-2.7267623235960232</v>
      </c>
      <c r="I98" s="255">
        <f t="shared" si="22"/>
        <v>-2.7200815397568996</v>
      </c>
      <c r="J98" s="255">
        <f t="shared" si="22"/>
        <v>-2.7133544917242824</v>
      </c>
      <c r="K98" s="255">
        <f t="shared" si="22"/>
        <v>-2.7065806972615634</v>
      </c>
      <c r="L98" s="255">
        <f t="shared" si="22"/>
        <v>-2.699759667406616</v>
      </c>
      <c r="M98" s="255">
        <f t="shared" si="22"/>
        <v>-2.6928909063541395</v>
      </c>
      <c r="N98" s="255">
        <f t="shared" si="22"/>
        <v>-2.6859739113355241</v>
      </c>
      <c r="O98" s="255">
        <f t="shared" si="22"/>
        <v>-2.6790081724961747</v>
      </c>
      <c r="P98" s="255">
        <f t="shared" si="22"/>
        <v>-2.6719931727702315</v>
      </c>
      <c r="Q98" s="255">
        <f t="shared" si="22"/>
        <v>-2.6649283877526266</v>
      </c>
      <c r="R98" s="255">
        <f t="shared" si="22"/>
        <v>-2.6578132855684031</v>
      </c>
      <c r="S98" s="255">
        <f t="shared" si="22"/>
        <v>-2.6506473267392354</v>
      </c>
      <c r="T98" s="255">
        <f t="shared" si="22"/>
        <v>-2.643429964047074</v>
      </c>
      <c r="U98" s="255">
        <f t="shared" si="22"/>
        <v>-2.636160642394846</v>
      </c>
      <c r="V98" s="255">
        <f t="shared" si="22"/>
        <v>-2.6288387986641406</v>
      </c>
      <c r="W98" s="255">
        <f t="shared" si="22"/>
        <v>-2.6214638615697905</v>
      </c>
      <c r="X98" s="255">
        <f t="shared" si="22"/>
        <v>-2.6140352515112846</v>
      </c>
      <c r="Y98" s="255">
        <f t="shared" si="22"/>
        <v>-2.6065523804209234</v>
      </c>
      <c r="Z98" s="255">
        <f t="shared" si="22"/>
        <v>-2.599014651608635</v>
      </c>
      <c r="AA98" s="255">
        <f t="shared" si="22"/>
        <v>-2.591421459603362</v>
      </c>
      <c r="AB98" s="255">
        <f t="shared" si="22"/>
        <v>-2.5837721899909405</v>
      </c>
      <c r="AC98" s="268">
        <f t="shared" si="22"/>
        <v>-2.5760662192483688</v>
      </c>
      <c r="AD98" s="346">
        <f t="shared" si="21"/>
        <v>-63.843933615390767</v>
      </c>
    </row>
    <row r="99" spans="1:30" s="53" customFormat="1" ht="12">
      <c r="A99" s="44"/>
      <c r="C99" s="299" t="s">
        <v>155</v>
      </c>
      <c r="D99" s="253"/>
      <c r="E99" s="217"/>
      <c r="F99" s="255">
        <f>F98*F97</f>
        <v>0</v>
      </c>
      <c r="G99" s="255">
        <f t="shared" ref="G99:AC99" si="23">G98*G97</f>
        <v>-30782.789098976624</v>
      </c>
      <c r="H99" s="255">
        <f t="shared" si="23"/>
        <v>-62055.236845310465</v>
      </c>
      <c r="I99" s="255">
        <f t="shared" si="23"/>
        <v>-62540.732475692355</v>
      </c>
      <c r="J99" s="255">
        <f t="shared" si="23"/>
        <v>-63022.021845979441</v>
      </c>
      <c r="K99" s="255">
        <f t="shared" si="23"/>
        <v>-63499.061112057025</v>
      </c>
      <c r="L99" s="255">
        <f t="shared" si="23"/>
        <v>-63971.805818338114</v>
      </c>
      <c r="M99" s="255">
        <f t="shared" si="23"/>
        <v>-64440.210887066169</v>
      </c>
      <c r="N99" s="255">
        <f t="shared" si="23"/>
        <v>-64470.464878556268</v>
      </c>
      <c r="O99" s="255">
        <f t="shared" si="23"/>
        <v>-64498.537001347606</v>
      </c>
      <c r="P99" s="255">
        <f t="shared" si="23"/>
        <v>-64524.404110561569</v>
      </c>
      <c r="Q99" s="255">
        <f t="shared" si="23"/>
        <v>-64548.042732802249</v>
      </c>
      <c r="R99" s="255">
        <f t="shared" si="23"/>
        <v>-64569.429060306844</v>
      </c>
      <c r="S99" s="255">
        <f t="shared" si="23"/>
        <v>-64588.538944970991</v>
      </c>
      <c r="T99" s="255">
        <f t="shared" si="23"/>
        <v>-64605.347892245074</v>
      </c>
      <c r="U99" s="255">
        <f t="shared" si="23"/>
        <v>-64619.831054899063</v>
      </c>
      <c r="V99" s="255">
        <f t="shared" si="23"/>
        <v>-64631.963226652093</v>
      </c>
      <c r="W99" s="255">
        <f t="shared" si="23"/>
        <v>-64641.718835663371</v>
      </c>
      <c r="X99" s="255">
        <f t="shared" si="23"/>
        <v>-64654.910671281723</v>
      </c>
      <c r="Y99" s="255">
        <f t="shared" si="23"/>
        <v>-64665.640249426069</v>
      </c>
      <c r="Z99" s="255">
        <f t="shared" si="23"/>
        <v>-64673.880493490229</v>
      </c>
      <c r="AA99" s="255">
        <f t="shared" si="23"/>
        <v>-64679.603928404424</v>
      </c>
      <c r="AB99" s="255">
        <f t="shared" si="23"/>
        <v>-64682.782673278532</v>
      </c>
      <c r="AC99" s="268">
        <f t="shared" si="23"/>
        <v>-64683.388433881511</v>
      </c>
      <c r="AD99" s="346">
        <f t="shared" si="21"/>
        <v>-1444050.3422711876</v>
      </c>
    </row>
    <row r="100" spans="1:30" s="53" customFormat="1" ht="12">
      <c r="A100" s="44"/>
      <c r="B100" s="70"/>
      <c r="C100" s="78" t="s">
        <v>475</v>
      </c>
      <c r="D100" s="253">
        <f>$D$95*(D63)</f>
        <v>3.0165463640823211</v>
      </c>
      <c r="E100" s="217"/>
      <c r="F100" s="255">
        <f>$D100*F97</f>
        <v>0</v>
      </c>
      <c r="G100" s="255">
        <f t="shared" ref="G100:AC100" si="24">$D100*G97</f>
        <v>33971.53787042098</v>
      </c>
      <c r="H100" s="255">
        <f t="shared" si="24"/>
        <v>68650.097391371179</v>
      </c>
      <c r="I100" s="255">
        <f t="shared" si="24"/>
        <v>69357.119041900354</v>
      </c>
      <c r="J100" s="255">
        <f t="shared" si="24"/>
        <v>70064.140692429588</v>
      </c>
      <c r="K100" s="255">
        <f t="shared" si="24"/>
        <v>70771.162342958793</v>
      </c>
      <c r="L100" s="255">
        <f t="shared" si="24"/>
        <v>71478.183993488012</v>
      </c>
      <c r="M100" s="255">
        <f t="shared" si="24"/>
        <v>72185.205644017202</v>
      </c>
      <c r="N100" s="255">
        <f t="shared" si="24"/>
        <v>72405.076460108714</v>
      </c>
      <c r="O100" s="255">
        <f t="shared" si="24"/>
        <v>72624.947276200211</v>
      </c>
      <c r="P100" s="255">
        <f t="shared" si="24"/>
        <v>72844.818092291709</v>
      </c>
      <c r="Q100" s="255">
        <f t="shared" si="24"/>
        <v>73064.688908383221</v>
      </c>
      <c r="R100" s="255">
        <f t="shared" si="24"/>
        <v>73284.559724474704</v>
      </c>
      <c r="S100" s="255">
        <f t="shared" si="24"/>
        <v>73504.430540566202</v>
      </c>
      <c r="T100" s="255">
        <f t="shared" si="24"/>
        <v>73724.301356657699</v>
      </c>
      <c r="U100" s="255">
        <f t="shared" si="24"/>
        <v>73944.172172749197</v>
      </c>
      <c r="V100" s="255">
        <f t="shared" si="24"/>
        <v>74164.042988840694</v>
      </c>
      <c r="W100" s="255">
        <f t="shared" si="24"/>
        <v>74383.913804932206</v>
      </c>
      <c r="X100" s="255">
        <f t="shared" si="24"/>
        <v>74610.522406981472</v>
      </c>
      <c r="Y100" s="255">
        <f t="shared" si="24"/>
        <v>74837.131009030752</v>
      </c>
      <c r="Z100" s="255">
        <f t="shared" si="24"/>
        <v>75063.739611080047</v>
      </c>
      <c r="AA100" s="255">
        <f t="shared" si="24"/>
        <v>75290.348213129328</v>
      </c>
      <c r="AB100" s="255">
        <f t="shared" si="24"/>
        <v>75516.956815178608</v>
      </c>
      <c r="AC100" s="268">
        <f t="shared" si="24"/>
        <v>75743.565417227888</v>
      </c>
      <c r="AD100" s="346">
        <f t="shared" si="21"/>
        <v>1641484.6617744188</v>
      </c>
    </row>
    <row r="101" spans="1:30" s="53" customFormat="1" ht="12">
      <c r="A101" s="45"/>
      <c r="B101" s="45"/>
      <c r="C101" s="78"/>
      <c r="D101" s="253"/>
      <c r="E101" s="217"/>
      <c r="F101" s="255"/>
      <c r="G101" s="255"/>
      <c r="H101" s="255"/>
      <c r="I101" s="255"/>
      <c r="J101" s="255"/>
      <c r="K101" s="255"/>
      <c r="L101" s="255"/>
      <c r="M101" s="255"/>
      <c r="N101" s="255"/>
      <c r="O101" s="255"/>
      <c r="P101" s="255"/>
      <c r="Q101" s="255"/>
      <c r="R101" s="255"/>
      <c r="S101" s="255"/>
      <c r="T101" s="255"/>
      <c r="U101" s="255"/>
      <c r="V101" s="255"/>
      <c r="W101" s="255"/>
      <c r="X101" s="255"/>
      <c r="Y101" s="255"/>
      <c r="Z101" s="255"/>
      <c r="AA101" s="255"/>
      <c r="AB101" s="255"/>
      <c r="AC101" s="268"/>
      <c r="AD101" s="346"/>
    </row>
    <row r="102" spans="1:30" s="53" customFormat="1" ht="12">
      <c r="A102" s="45"/>
      <c r="B102" s="5" t="s">
        <v>261</v>
      </c>
      <c r="C102" s="78"/>
      <c r="D102" s="253"/>
      <c r="E102" s="217"/>
      <c r="F102" s="255"/>
      <c r="G102" s="255"/>
      <c r="H102" s="255"/>
      <c r="I102" s="255"/>
      <c r="J102" s="255"/>
      <c r="K102" s="255"/>
      <c r="L102" s="255"/>
      <c r="M102" s="255"/>
      <c r="N102" s="255"/>
      <c r="O102" s="255"/>
      <c r="P102" s="255"/>
      <c r="Q102" s="255"/>
      <c r="R102" s="255"/>
      <c r="S102" s="255"/>
      <c r="T102" s="255"/>
      <c r="U102" s="255"/>
      <c r="V102" s="255"/>
      <c r="W102" s="255"/>
      <c r="X102" s="255"/>
      <c r="Y102" s="255"/>
      <c r="Z102" s="255"/>
      <c r="AA102" s="255"/>
      <c r="AB102" s="255"/>
      <c r="AC102" s="268"/>
      <c r="AD102" s="346"/>
    </row>
    <row r="103" spans="1:30" s="53" customFormat="1" ht="12">
      <c r="A103" s="44"/>
      <c r="B103" s="5"/>
      <c r="C103" s="78" t="s">
        <v>411</v>
      </c>
      <c r="D103" s="253"/>
      <c r="E103" s="217"/>
      <c r="F103" s="45">
        <f>F17</f>
        <v>0</v>
      </c>
      <c r="G103" s="45">
        <f t="shared" ref="G103:AC103" si="25">G17</f>
        <v>69.572159999999997</v>
      </c>
      <c r="H103" s="45">
        <f t="shared" si="25"/>
        <v>158.17926297599999</v>
      </c>
      <c r="I103" s="45">
        <f t="shared" si="25"/>
        <v>179.81818615111681</v>
      </c>
      <c r="J103" s="45">
        <f t="shared" si="25"/>
        <v>204.41731401658959</v>
      </c>
      <c r="K103" s="45">
        <f t="shared" si="25"/>
        <v>232.38160257405903</v>
      </c>
      <c r="L103" s="45">
        <f t="shared" si="25"/>
        <v>264.17140580619031</v>
      </c>
      <c r="M103" s="45">
        <f t="shared" si="25"/>
        <v>300.31005412047722</v>
      </c>
      <c r="N103" s="45">
        <f t="shared" si="25"/>
        <v>341.39246952415846</v>
      </c>
      <c r="O103" s="45">
        <f t="shared" si="25"/>
        <v>388.09495935506339</v>
      </c>
      <c r="P103" s="45">
        <f t="shared" si="25"/>
        <v>441.18634979483608</v>
      </c>
      <c r="Q103" s="45">
        <f t="shared" si="25"/>
        <v>501.54064244676965</v>
      </c>
      <c r="R103" s="45">
        <f t="shared" si="25"/>
        <v>570.15140233348768</v>
      </c>
      <c r="S103" s="45">
        <f t="shared" si="25"/>
        <v>648.14811417270892</v>
      </c>
      <c r="T103" s="45">
        <f t="shared" si="25"/>
        <v>736.81477619153554</v>
      </c>
      <c r="U103" s="45">
        <f t="shared" si="25"/>
        <v>837.6110375745377</v>
      </c>
      <c r="V103" s="45">
        <f t="shared" si="25"/>
        <v>952.19622751473446</v>
      </c>
      <c r="W103" s="45">
        <f t="shared" si="25"/>
        <v>1082.4566714387502</v>
      </c>
      <c r="X103" s="45">
        <f t="shared" si="25"/>
        <v>1230.5367440915713</v>
      </c>
      <c r="Y103" s="45">
        <f t="shared" si="25"/>
        <v>1398.8741706832982</v>
      </c>
      <c r="Z103" s="45">
        <f t="shared" si="25"/>
        <v>1590.2401572327735</v>
      </c>
      <c r="AA103" s="45">
        <f t="shared" si="25"/>
        <v>1807.7850107422171</v>
      </c>
      <c r="AB103" s="45">
        <f t="shared" si="25"/>
        <v>2055.0900002117523</v>
      </c>
      <c r="AC103" s="263">
        <f t="shared" si="25"/>
        <v>2336.2263122407198</v>
      </c>
      <c r="AD103" s="338">
        <f t="shared" si="21"/>
        <v>18327.195031193347</v>
      </c>
    </row>
    <row r="104" spans="1:30" s="53" customFormat="1" ht="12">
      <c r="A104" s="44"/>
      <c r="B104" s="5"/>
      <c r="C104" s="78" t="s">
        <v>427</v>
      </c>
      <c r="D104" s="253"/>
      <c r="E104" s="217"/>
      <c r="F104" s="255">
        <f>F82*$D$95</f>
        <v>-1.0579557447017054</v>
      </c>
      <c r="G104" s="255">
        <f t="shared" ref="G104:AC104" si="26">G82*$D$95</f>
        <v>-1.0513660688679827</v>
      </c>
      <c r="H104" s="255">
        <f t="shared" si="26"/>
        <v>-1.0447310735960231</v>
      </c>
      <c r="I104" s="255">
        <f t="shared" si="26"/>
        <v>-1.0380502897568995</v>
      </c>
      <c r="J104" s="255">
        <f t="shared" si="26"/>
        <v>-1.0313232417242824</v>
      </c>
      <c r="K104" s="255">
        <f t="shared" si="26"/>
        <v>-1.0245494472615633</v>
      </c>
      <c r="L104" s="255">
        <f t="shared" si="26"/>
        <v>-1.0177284174066159</v>
      </c>
      <c r="M104" s="255">
        <f t="shared" si="26"/>
        <v>-1.0108596563541394</v>
      </c>
      <c r="N104" s="255">
        <f t="shared" si="26"/>
        <v>-1.003942661335524</v>
      </c>
      <c r="O104" s="255">
        <f t="shared" si="26"/>
        <v>-0.99697692249617464</v>
      </c>
      <c r="P104" s="255">
        <f t="shared" si="26"/>
        <v>-0.98996192277023143</v>
      </c>
      <c r="Q104" s="255">
        <f t="shared" si="26"/>
        <v>-0.98289713775262655</v>
      </c>
      <c r="R104" s="255">
        <f t="shared" si="26"/>
        <v>-0.97578203556840304</v>
      </c>
      <c r="S104" s="255">
        <f t="shared" si="26"/>
        <v>-0.96861607673923533</v>
      </c>
      <c r="T104" s="255">
        <f t="shared" si="26"/>
        <v>-0.96139871404707389</v>
      </c>
      <c r="U104" s="255">
        <f t="shared" si="26"/>
        <v>-0.95412939239484595</v>
      </c>
      <c r="V104" s="255">
        <f t="shared" si="26"/>
        <v>-0.94680754866414052</v>
      </c>
      <c r="W104" s="255">
        <f t="shared" si="26"/>
        <v>-0.93943261156979041</v>
      </c>
      <c r="X104" s="255">
        <f t="shared" si="26"/>
        <v>-0.93200400151128449</v>
      </c>
      <c r="Y104" s="255">
        <f t="shared" si="26"/>
        <v>-0.92452113042092332</v>
      </c>
      <c r="Z104" s="255">
        <f t="shared" si="26"/>
        <v>-0.9169834016086349</v>
      </c>
      <c r="AA104" s="255">
        <f t="shared" si="26"/>
        <v>-0.90939020960336192</v>
      </c>
      <c r="AB104" s="255">
        <f t="shared" si="26"/>
        <v>-0.9017409399909404</v>
      </c>
      <c r="AC104" s="268">
        <f t="shared" si="26"/>
        <v>-0.89403496924836867</v>
      </c>
      <c r="AD104" s="346">
        <f t="shared" si="21"/>
        <v>-23.475183615390776</v>
      </c>
    </row>
    <row r="105" spans="1:30" s="53" customFormat="1" ht="12">
      <c r="A105" s="44"/>
      <c r="B105" s="5"/>
      <c r="C105" s="299" t="s">
        <v>155</v>
      </c>
      <c r="D105" s="253"/>
      <c r="E105" s="217"/>
      <c r="F105" s="255">
        <f>F104*F103</f>
        <v>0</v>
      </c>
      <c r="G105" s="255">
        <f t="shared" ref="G105:AC105" si="27">G104*G103</f>
        <v>-73.145808361854307</v>
      </c>
      <c r="H105" s="255">
        <f t="shared" si="27"/>
        <v>-165.25479122954414</v>
      </c>
      <c r="I105" s="255">
        <f t="shared" si="27"/>
        <v>-186.66032023772689</v>
      </c>
      <c r="J105" s="255">
        <f t="shared" si="27"/>
        <v>-210.82032695615976</v>
      </c>
      <c r="K105" s="255">
        <f t="shared" si="27"/>
        <v>-238.08644247100844</v>
      </c>
      <c r="L105" s="255">
        <f t="shared" si="27"/>
        <v>-268.85474675521499</v>
      </c>
      <c r="M105" s="255">
        <f t="shared" si="27"/>
        <v>-303.57131810791861</v>
      </c>
      <c r="N105" s="255">
        <f t="shared" si="27"/>
        <v>-342.73846441399041</v>
      </c>
      <c r="O105" s="255">
        <f t="shared" si="27"/>
        <v>-386.92171821408908</v>
      </c>
      <c r="P105" s="255">
        <f t="shared" si="27"/>
        <v>-436.7576871428758</v>
      </c>
      <c r="Q105" s="255">
        <f t="shared" si="27"/>
        <v>-492.96286192754337</v>
      </c>
      <c r="R105" s="255">
        <f t="shared" si="27"/>
        <v>-556.3434959511502</v>
      </c>
      <c r="S105" s="255">
        <f t="shared" si="27"/>
        <v>-627.80668349590326</v>
      </c>
      <c r="T105" s="255">
        <f t="shared" si="27"/>
        <v>-708.37277832142479</v>
      </c>
      <c r="U105" s="255">
        <f t="shared" si="27"/>
        <v>-799.18931034421018</v>
      </c>
      <c r="V105" s="255">
        <f t="shared" si="27"/>
        <v>-901.54657602046791</v>
      </c>
      <c r="W105" s="255">
        <f t="shared" si="27"/>
        <v>-1016.8950977608476</v>
      </c>
      <c r="X105" s="255">
        <f t="shared" si="27"/>
        <v>-1146.8651695000119</v>
      </c>
      <c r="Y105" s="255">
        <f t="shared" si="27"/>
        <v>-1293.2887295967544</v>
      </c>
      <c r="Z105" s="255">
        <f t="shared" si="27"/>
        <v>-1458.223828753959</v>
      </c>
      <c r="AA105" s="255">
        <f t="shared" si="27"/>
        <v>-1643.9819898366807</v>
      </c>
      <c r="AB105" s="255">
        <f t="shared" si="27"/>
        <v>-1853.1587885569274</v>
      </c>
      <c r="AC105" s="268">
        <f t="shared" si="27"/>
        <v>-2088.6680192213616</v>
      </c>
      <c r="AD105" s="346">
        <f t="shared" si="21"/>
        <v>-17200.114953177625</v>
      </c>
    </row>
    <row r="106" spans="1:30" s="53" customFormat="1" ht="12">
      <c r="A106" s="44"/>
      <c r="B106" s="5"/>
      <c r="C106" s="78" t="s">
        <v>428</v>
      </c>
      <c r="D106" s="253">
        <f>D90</f>
        <v>5.9830927281646424</v>
      </c>
      <c r="E106" s="217"/>
      <c r="F106" s="255">
        <f>$D106*F103</f>
        <v>0</v>
      </c>
      <c r="G106" s="255">
        <f t="shared" ref="G106:AC106" si="28">$D106*G103</f>
        <v>416.256684578707</v>
      </c>
      <c r="H106" s="255">
        <f t="shared" si="28"/>
        <v>946.40119805814822</v>
      </c>
      <c r="I106" s="255">
        <f t="shared" si="28"/>
        <v>1075.868881952503</v>
      </c>
      <c r="J106" s="255">
        <f t="shared" si="28"/>
        <v>1223.0477450036053</v>
      </c>
      <c r="K106" s="255">
        <f t="shared" si="28"/>
        <v>1390.3606765200987</v>
      </c>
      <c r="L106" s="255">
        <f t="shared" si="28"/>
        <v>1580.5620170680481</v>
      </c>
      <c r="M106" s="255">
        <f t="shared" si="28"/>
        <v>1796.7829010029575</v>
      </c>
      <c r="N106" s="255">
        <f t="shared" si="28"/>
        <v>2042.5828018601617</v>
      </c>
      <c r="O106" s="255">
        <f t="shared" si="28"/>
        <v>2322.0081291546321</v>
      </c>
      <c r="P106" s="255">
        <f t="shared" si="28"/>
        <v>2639.6588412229862</v>
      </c>
      <c r="Q106" s="255">
        <f t="shared" si="28"/>
        <v>3000.7641707022904</v>
      </c>
      <c r="R106" s="255">
        <f t="shared" si="28"/>
        <v>3411.2687092543633</v>
      </c>
      <c r="S106" s="255">
        <f t="shared" si="28"/>
        <v>3877.9302686803612</v>
      </c>
      <c r="T106" s="255">
        <f t="shared" si="28"/>
        <v>4408.4311294358349</v>
      </c>
      <c r="U106" s="255">
        <f t="shared" si="28"/>
        <v>5011.5045079426573</v>
      </c>
      <c r="V106" s="255">
        <f t="shared" si="28"/>
        <v>5697.0783246292131</v>
      </c>
      <c r="W106" s="255">
        <f t="shared" si="28"/>
        <v>6476.4386394384901</v>
      </c>
      <c r="X106" s="255">
        <f t="shared" si="28"/>
        <v>7362.4154453136762</v>
      </c>
      <c r="Y106" s="255">
        <f t="shared" si="28"/>
        <v>8369.5938782325866</v>
      </c>
      <c r="Z106" s="255">
        <f t="shared" si="28"/>
        <v>9514.5543207748051</v>
      </c>
      <c r="AA106" s="255">
        <f t="shared" si="28"/>
        <v>10816.1453518568</v>
      </c>
      <c r="AB106" s="255">
        <f t="shared" si="28"/>
        <v>12295.79403599081</v>
      </c>
      <c r="AC106" s="268">
        <f t="shared" si="28"/>
        <v>13977.858660114351</v>
      </c>
      <c r="AD106" s="346">
        <f t="shared" si="21"/>
        <v>109653.30731878808</v>
      </c>
    </row>
    <row r="107" spans="1:30" s="53" customFormat="1" ht="12">
      <c r="A107" s="44"/>
      <c r="B107" s="70"/>
      <c r="C107" s="224"/>
      <c r="D107" s="253"/>
      <c r="E107" s="217"/>
      <c r="F107" s="255"/>
      <c r="G107" s="255"/>
      <c r="H107" s="255"/>
      <c r="I107" s="255"/>
      <c r="J107" s="255"/>
      <c r="K107" s="255"/>
      <c r="L107" s="255"/>
      <c r="M107" s="255"/>
      <c r="N107" s="255"/>
      <c r="O107" s="255"/>
      <c r="P107" s="255"/>
      <c r="Q107" s="255"/>
      <c r="R107" s="255"/>
      <c r="S107" s="255"/>
      <c r="T107" s="255"/>
      <c r="U107" s="255"/>
      <c r="V107" s="255"/>
      <c r="W107" s="255"/>
      <c r="X107" s="255"/>
      <c r="Y107" s="255"/>
      <c r="Z107" s="255"/>
      <c r="AA107" s="255"/>
      <c r="AB107" s="255"/>
      <c r="AC107" s="268"/>
      <c r="AD107" s="346"/>
    </row>
    <row r="108" spans="1:30" s="53" customFormat="1" ht="12">
      <c r="A108" s="64" t="s">
        <v>343</v>
      </c>
      <c r="B108" s="5"/>
      <c r="C108" s="78"/>
      <c r="D108" s="253"/>
      <c r="E108" s="217"/>
      <c r="F108" s="45"/>
      <c r="G108" s="57"/>
      <c r="AC108" s="263"/>
      <c r="AD108" s="338"/>
    </row>
    <row r="109" spans="1:30" s="53" customFormat="1" ht="12">
      <c r="A109" s="45"/>
      <c r="B109" s="55"/>
      <c r="C109" s="5" t="s">
        <v>487</v>
      </c>
      <c r="D109" s="253"/>
      <c r="E109" s="220"/>
      <c r="F109" s="83">
        <f>F99+F100+F105+F106</f>
        <v>0</v>
      </c>
      <c r="G109" s="83">
        <f>G99+G100+G105+G106</f>
        <v>3531.8596476612083</v>
      </c>
      <c r="H109" s="83">
        <f t="shared" ref="H109:AC109" si="29">H99+H100+H105+H106</f>
        <v>7376.0069528893182</v>
      </c>
      <c r="I109" s="83">
        <f t="shared" si="29"/>
        <v>7705.5951279227747</v>
      </c>
      <c r="J109" s="83">
        <f t="shared" si="29"/>
        <v>8054.3462644975916</v>
      </c>
      <c r="K109" s="83">
        <f t="shared" si="29"/>
        <v>8424.3754649508592</v>
      </c>
      <c r="L109" s="83">
        <f t="shared" si="29"/>
        <v>8818.0854454627297</v>
      </c>
      <c r="M109" s="83">
        <f t="shared" si="29"/>
        <v>9238.2063398460723</v>
      </c>
      <c r="N109" s="83">
        <f t="shared" si="29"/>
        <v>9634.4559189986176</v>
      </c>
      <c r="O109" s="83">
        <f t="shared" si="29"/>
        <v>10061.496685793149</v>
      </c>
      <c r="P109" s="83">
        <f t="shared" si="29"/>
        <v>10523.315135810251</v>
      </c>
      <c r="Q109" s="83">
        <f t="shared" si="29"/>
        <v>11024.447484355718</v>
      </c>
      <c r="R109" s="83">
        <f t="shared" si="29"/>
        <v>11570.055877471073</v>
      </c>
      <c r="S109" s="83">
        <f t="shared" si="29"/>
        <v>12166.015180779668</v>
      </c>
      <c r="T109" s="83">
        <f t="shared" si="29"/>
        <v>12819.011815527036</v>
      </c>
      <c r="U109" s="83">
        <f t="shared" si="29"/>
        <v>13536.656315448581</v>
      </c>
      <c r="V109" s="83">
        <f t="shared" si="29"/>
        <v>14327.611510797346</v>
      </c>
      <c r="W109" s="83">
        <f t="shared" si="29"/>
        <v>15201.738510946478</v>
      </c>
      <c r="X109" s="83">
        <f t="shared" si="29"/>
        <v>16171.162011513414</v>
      </c>
      <c r="Y109" s="83">
        <f t="shared" si="29"/>
        <v>17247.795908240514</v>
      </c>
      <c r="Z109" s="83">
        <f t="shared" si="29"/>
        <v>18446.189609610665</v>
      </c>
      <c r="AA109" s="83">
        <f t="shared" si="29"/>
        <v>19782.907646745021</v>
      </c>
      <c r="AB109" s="83">
        <f t="shared" si="29"/>
        <v>21276.809389333957</v>
      </c>
      <c r="AC109" s="272">
        <f t="shared" si="29"/>
        <v>22949.367624239367</v>
      </c>
      <c r="AD109" s="355">
        <f t="shared" ref="AD109:AD178" si="30">SUM(F109:AC109)</f>
        <v>289887.51186884142</v>
      </c>
    </row>
    <row r="110" spans="1:30" s="53" customFormat="1" ht="12">
      <c r="A110" s="45"/>
      <c r="B110" s="45"/>
      <c r="D110" s="209"/>
      <c r="E110" s="217"/>
      <c r="F110" s="45"/>
      <c r="G110" s="57"/>
      <c r="AC110" s="263"/>
      <c r="AD110" s="338"/>
    </row>
    <row r="111" spans="1:30" s="53" customFormat="1" ht="12">
      <c r="A111" s="45"/>
      <c r="B111" s="5" t="s">
        <v>507</v>
      </c>
      <c r="C111" s="5"/>
      <c r="D111" s="209"/>
      <c r="E111" s="217"/>
      <c r="G111" s="57"/>
      <c r="AC111" s="263"/>
      <c r="AD111" s="338"/>
    </row>
    <row r="112" spans="1:30" s="53" customFormat="1" ht="12">
      <c r="A112" s="45"/>
      <c r="B112" s="55" t="s">
        <v>508</v>
      </c>
      <c r="C112" s="225" t="s">
        <v>509</v>
      </c>
      <c r="D112" s="287">
        <v>5.3999999999999999E-2</v>
      </c>
      <c r="E112" s="217"/>
      <c r="G112" s="57"/>
      <c r="AC112" s="263"/>
      <c r="AD112" s="338"/>
    </row>
    <row r="113" spans="1:30" s="53" customFormat="1" ht="12">
      <c r="A113" s="45"/>
      <c r="C113" s="70" t="s">
        <v>505</v>
      </c>
      <c r="D113" s="209"/>
      <c r="E113" s="217"/>
      <c r="F113" s="255">
        <f>-F23*$D$112</f>
        <v>0</v>
      </c>
      <c r="G113" s="255">
        <f t="shared" ref="G113:AC113" si="31">-G23*$D$112</f>
        <v>5303.0505256917986</v>
      </c>
      <c r="H113" s="255">
        <f t="shared" si="31"/>
        <v>10724.699789829343</v>
      </c>
      <c r="I113" s="255">
        <f t="shared" si="31"/>
        <v>10844.51719100827</v>
      </c>
      <c r="J113" s="255">
        <f t="shared" si="31"/>
        <v>10965.719967982292</v>
      </c>
      <c r="K113" s="255">
        <f t="shared" si="31"/>
        <v>11088.497640160162</v>
      </c>
      <c r="L113" s="255">
        <f t="shared" si="31"/>
        <v>11213.065653205778</v>
      </c>
      <c r="M113" s="255">
        <f t="shared" si="31"/>
        <v>11339.66892574984</v>
      </c>
      <c r="N113" s="255">
        <f t="shared" si="31"/>
        <v>11393.007201901473</v>
      </c>
      <c r="O113" s="255">
        <f t="shared" si="31"/>
        <v>11448.975672885048</v>
      </c>
      <c r="P113" s="255">
        <f t="shared" si="31"/>
        <v>11507.934149353572</v>
      </c>
      <c r="Q113" s="255">
        <f t="shared" si="31"/>
        <v>11570.291664057389</v>
      </c>
      <c r="R113" s="255">
        <f t="shared" si="31"/>
        <v>11636.513205427085</v>
      </c>
      <c r="S113" s="255">
        <f t="shared" si="31"/>
        <v>11707.127372310551</v>
      </c>
      <c r="T113" s="255">
        <f t="shared" si="31"/>
        <v>11782.735075878074</v>
      </c>
      <c r="U113" s="255">
        <f t="shared" si="31"/>
        <v>11864.019431948031</v>
      </c>
      <c r="V113" s="255">
        <f t="shared" si="31"/>
        <v>11951.757006582749</v>
      </c>
      <c r="W113" s="255">
        <f t="shared" si="31"/>
        <v>12046.830600081905</v>
      </c>
      <c r="X113" s="255">
        <f t="shared" si="31"/>
        <v>12151.289108970015</v>
      </c>
      <c r="Y113" s="255">
        <f t="shared" si="31"/>
        <v>12265.228059501536</v>
      </c>
      <c r="Z113" s="255">
        <f t="shared" si="31"/>
        <v>12389.944376093281</v>
      </c>
      <c r="AA113" s="255">
        <f t="shared" si="31"/>
        <v>12526.912402422295</v>
      </c>
      <c r="AB113" s="255">
        <f t="shared" si="31"/>
        <v>12677.80817238063</v>
      </c>
      <c r="AC113" s="268">
        <f t="shared" si="31"/>
        <v>12844.537001296776</v>
      </c>
      <c r="AD113" s="346">
        <f t="shared" si="30"/>
        <v>263244.13019471784</v>
      </c>
    </row>
    <row r="114" spans="1:30" s="53" customFormat="1" ht="12">
      <c r="A114" s="45"/>
      <c r="B114" s="45"/>
      <c r="C114" s="225" t="s">
        <v>514</v>
      </c>
      <c r="D114" s="209">
        <v>3.2</v>
      </c>
      <c r="E114" s="217"/>
      <c r="G114" s="57"/>
      <c r="AC114" s="263"/>
      <c r="AD114" s="338"/>
    </row>
    <row r="115" spans="1:30" s="53" customFormat="1" ht="12">
      <c r="A115" s="45"/>
      <c r="B115" s="45"/>
      <c r="C115" s="224" t="s">
        <v>384</v>
      </c>
      <c r="D115" s="253">
        <f>'Price Assumptions'!B3</f>
        <v>12.5</v>
      </c>
      <c r="E115" s="217"/>
      <c r="G115" s="57"/>
      <c r="AC115" s="263"/>
      <c r="AD115" s="338"/>
    </row>
    <row r="116" spans="1:30" s="53" customFormat="1" ht="12">
      <c r="A116" s="45"/>
      <c r="B116" s="45"/>
      <c r="C116" s="70" t="s">
        <v>562</v>
      </c>
      <c r="D116" s="209"/>
      <c r="E116" s="217"/>
      <c r="F116" s="288">
        <f>($D$114/3600)*$D$115*F30</f>
        <v>0</v>
      </c>
      <c r="G116" s="288">
        <f t="shared" ref="G116:AC116" si="32">($D$114/3600)*$D$115*G30</f>
        <v>0</v>
      </c>
      <c r="H116" s="288">
        <f t="shared" si="32"/>
        <v>35463.376364422642</v>
      </c>
      <c r="I116" s="288">
        <f t="shared" si="32"/>
        <v>35828.462510694051</v>
      </c>
      <c r="J116" s="288">
        <f t="shared" si="32"/>
        <v>36193.526729523328</v>
      </c>
      <c r="K116" s="288">
        <f t="shared" si="32"/>
        <v>36558.566021236351</v>
      </c>
      <c r="L116" s="288">
        <f t="shared" si="32"/>
        <v>36923.576975803648</v>
      </c>
      <c r="M116" s="288">
        <f t="shared" si="32"/>
        <v>37288.555716703668</v>
      </c>
      <c r="N116" s="288">
        <f t="shared" si="32"/>
        <v>37401.836370653269</v>
      </c>
      <c r="O116" s="288">
        <f t="shared" si="32"/>
        <v>37515.07539442194</v>
      </c>
      <c r="P116" s="288">
        <f t="shared" si="32"/>
        <v>37628.267093000912</v>
      </c>
      <c r="Q116" s="288">
        <f t="shared" si="32"/>
        <v>37741.40499230424</v>
      </c>
      <c r="R116" s="288">
        <f t="shared" si="32"/>
        <v>37854.481732591004</v>
      </c>
      <c r="S116" s="288">
        <f t="shared" si="32"/>
        <v>37967.488947307764</v>
      </c>
      <c r="T116" s="288">
        <f t="shared" si="32"/>
        <v>38080.417125356522</v>
      </c>
      <c r="U116" s="288">
        <f t="shared" si="32"/>
        <v>38193.255454521095</v>
      </c>
      <c r="V116" s="288">
        <f t="shared" si="32"/>
        <v>38305.991643474139</v>
      </c>
      <c r="W116" s="288">
        <f t="shared" si="32"/>
        <v>38418.611719434717</v>
      </c>
      <c r="X116" s="288">
        <f t="shared" si="32"/>
        <v>38534.580529317216</v>
      </c>
      <c r="Y116" s="288">
        <f t="shared" si="32"/>
        <v>38650.399284726096</v>
      </c>
      <c r="Z116" s="288">
        <f t="shared" si="32"/>
        <v>38766.047458209367</v>
      </c>
      <c r="AA116" s="288">
        <f t="shared" si="32"/>
        <v>38881.501714159611</v>
      </c>
      <c r="AB116" s="288">
        <f t="shared" si="32"/>
        <v>38996.735524658281</v>
      </c>
      <c r="AC116" s="387">
        <f t="shared" si="32"/>
        <v>39111.718732767637</v>
      </c>
      <c r="AD116" s="356">
        <f t="shared" si="30"/>
        <v>830303.87803528749</v>
      </c>
    </row>
    <row r="117" spans="1:30" s="53" customFormat="1" ht="12">
      <c r="A117" s="45"/>
      <c r="B117" s="55" t="s">
        <v>388</v>
      </c>
      <c r="C117" s="225" t="s">
        <v>515</v>
      </c>
      <c r="D117" s="209">
        <v>2</v>
      </c>
      <c r="E117" s="217"/>
      <c r="G117" s="57"/>
      <c r="AC117" s="263"/>
      <c r="AD117" s="338"/>
    </row>
    <row r="118" spans="1:30" s="53" customFormat="1" ht="12">
      <c r="A118" s="45"/>
      <c r="B118" s="45"/>
      <c r="C118" s="224" t="s">
        <v>384</v>
      </c>
      <c r="D118" s="253">
        <f>D115</f>
        <v>12.5</v>
      </c>
      <c r="E118" s="217"/>
      <c r="F118" s="45"/>
      <c r="G118" s="57"/>
      <c r="AC118" s="263"/>
      <c r="AD118" s="338"/>
    </row>
    <row r="119" spans="1:30" s="53" customFormat="1" ht="12">
      <c r="A119" s="45"/>
      <c r="B119" s="45"/>
      <c r="C119" s="224" t="s">
        <v>521</v>
      </c>
      <c r="D119" s="322">
        <f>'Mode Operating Assumptions'!C45</f>
        <v>8.4250000000000002E-3</v>
      </c>
      <c r="E119" s="217"/>
      <c r="F119" s="45"/>
      <c r="G119" s="57"/>
      <c r="AC119" s="263"/>
      <c r="AD119" s="338"/>
    </row>
    <row r="120" spans="1:30" s="53" customFormat="1" ht="12">
      <c r="A120" s="45"/>
      <c r="B120" s="45"/>
      <c r="C120" s="70" t="s">
        <v>516</v>
      </c>
      <c r="D120" s="209"/>
      <c r="E120" s="217"/>
      <c r="F120" s="255">
        <f>-(($D$117/3600*$D$118)+$D$119)*F28</f>
        <v>0</v>
      </c>
      <c r="G120" s="255">
        <f>-(($D$117/3600*$D$118)+$D$119)*G28</f>
        <v>-48781.891070628379</v>
      </c>
      <c r="H120" s="255"/>
      <c r="I120" s="255"/>
      <c r="J120" s="45"/>
      <c r="AC120" s="263"/>
      <c r="AD120" s="346">
        <f t="shared" si="30"/>
        <v>-48781.891070628379</v>
      </c>
    </row>
    <row r="121" spans="1:30" s="53" customFormat="1" ht="12">
      <c r="A121" s="45"/>
      <c r="B121" s="45"/>
      <c r="C121" s="5"/>
      <c r="D121" s="209"/>
      <c r="E121" s="217"/>
      <c r="F121" s="45"/>
      <c r="G121" s="57"/>
      <c r="AC121" s="263"/>
      <c r="AD121" s="338"/>
    </row>
    <row r="122" spans="1:30" s="53" customFormat="1" ht="12">
      <c r="A122" s="45"/>
      <c r="B122" s="45"/>
      <c r="C122" s="5" t="s">
        <v>517</v>
      </c>
      <c r="D122" s="209"/>
      <c r="E122" s="217"/>
      <c r="F122" s="289">
        <f>F113+F116+F120</f>
        <v>0</v>
      </c>
      <c r="G122" s="289">
        <f t="shared" ref="G122:AC122" si="33">G113+G116+G120</f>
        <v>-43478.840544936582</v>
      </c>
      <c r="H122" s="289">
        <f t="shared" si="33"/>
        <v>46188.076154251983</v>
      </c>
      <c r="I122" s="289">
        <f t="shared" si="33"/>
        <v>46672.979701702323</v>
      </c>
      <c r="J122" s="289">
        <f t="shared" si="33"/>
        <v>47159.246697505616</v>
      </c>
      <c r="K122" s="289">
        <f t="shared" si="33"/>
        <v>47647.063661396511</v>
      </c>
      <c r="L122" s="289">
        <f t="shared" si="33"/>
        <v>48136.642629009424</v>
      </c>
      <c r="M122" s="289">
        <f t="shared" si="33"/>
        <v>48628.224642453511</v>
      </c>
      <c r="N122" s="289">
        <f t="shared" si="33"/>
        <v>48794.843572554746</v>
      </c>
      <c r="O122" s="289">
        <f t="shared" si="33"/>
        <v>48964.051067306988</v>
      </c>
      <c r="P122" s="289">
        <f t="shared" si="33"/>
        <v>49136.20124235448</v>
      </c>
      <c r="Q122" s="289">
        <f t="shared" si="33"/>
        <v>49311.69665636163</v>
      </c>
      <c r="R122" s="289">
        <f t="shared" si="33"/>
        <v>49490.994938018091</v>
      </c>
      <c r="S122" s="289">
        <f t="shared" si="33"/>
        <v>49674.616319618319</v>
      </c>
      <c r="T122" s="289">
        <f t="shared" si="33"/>
        <v>49863.152201234596</v>
      </c>
      <c r="U122" s="289">
        <f t="shared" si="33"/>
        <v>50057.274886469124</v>
      </c>
      <c r="V122" s="289">
        <f t="shared" si="33"/>
        <v>50257.748650056892</v>
      </c>
      <c r="W122" s="289">
        <f t="shared" si="33"/>
        <v>50465.442319516624</v>
      </c>
      <c r="X122" s="289">
        <f t="shared" si="33"/>
        <v>50685.869638287229</v>
      </c>
      <c r="Y122" s="289">
        <f t="shared" si="33"/>
        <v>50915.627344227629</v>
      </c>
      <c r="Z122" s="289">
        <f t="shared" si="33"/>
        <v>51155.991834302651</v>
      </c>
      <c r="AA122" s="289">
        <f t="shared" si="33"/>
        <v>51408.414116581902</v>
      </c>
      <c r="AB122" s="289">
        <f t="shared" si="33"/>
        <v>51674.543697038913</v>
      </c>
      <c r="AC122" s="318">
        <f t="shared" si="33"/>
        <v>51956.255734064413</v>
      </c>
      <c r="AD122" s="347">
        <f t="shared" si="30"/>
        <v>1044766.1171593771</v>
      </c>
    </row>
    <row r="123" spans="1:30" s="53" customFormat="1" ht="12">
      <c r="A123" s="45"/>
      <c r="B123" s="45"/>
      <c r="C123" s="5"/>
      <c r="D123" s="209"/>
      <c r="E123" s="217"/>
      <c r="F123" s="45"/>
      <c r="G123" s="57"/>
      <c r="AC123" s="263"/>
      <c r="AD123" s="338"/>
    </row>
    <row r="124" spans="1:30" s="53" customFormat="1" ht="12">
      <c r="A124" s="45"/>
      <c r="B124" s="55" t="s">
        <v>501</v>
      </c>
      <c r="C124" s="5"/>
      <c r="D124" s="209"/>
      <c r="E124" s="217"/>
      <c r="F124" s="233">
        <f>F24</f>
        <v>0</v>
      </c>
      <c r="G124" s="233">
        <f t="shared" ref="G124:AC124" si="34">G24</f>
        <v>17305.905922395203</v>
      </c>
      <c r="H124" s="233">
        <f t="shared" si="34"/>
        <v>34210.075703199225</v>
      </c>
      <c r="I124" s="233">
        <f t="shared" si="34"/>
        <v>33829.849991455005</v>
      </c>
      <c r="J124" s="233">
        <f t="shared" si="34"/>
        <v>33470.251944304706</v>
      </c>
      <c r="K124" s="233">
        <f t="shared" si="34"/>
        <v>33130.541477849758</v>
      </c>
      <c r="L124" s="233">
        <f t="shared" si="34"/>
        <v>32810.11557007517</v>
      </c>
      <c r="M124" s="233">
        <f t="shared" si="34"/>
        <v>32508.504547858032</v>
      </c>
      <c r="N124" s="233">
        <f t="shared" si="34"/>
        <v>32013.00302758042</v>
      </c>
      <c r="O124" s="233">
        <f t="shared" si="34"/>
        <v>32153.232146311704</v>
      </c>
      <c r="P124" s="233">
        <f t="shared" si="34"/>
        <v>32301.705496364033</v>
      </c>
      <c r="Q124" s="233">
        <f t="shared" si="34"/>
        <v>32459.557504185883</v>
      </c>
      <c r="R124" s="233">
        <f t="shared" si="34"/>
        <v>32628.077093441745</v>
      </c>
      <c r="S124" s="233">
        <f t="shared" si="34"/>
        <v>32808.728728885595</v>
      </c>
      <c r="T124" s="233">
        <f t="shared" si="34"/>
        <v>33003.176326642766</v>
      </c>
      <c r="U124" s="233">
        <f t="shared" si="34"/>
        <v>33213.31042134406</v>
      </c>
      <c r="V124" s="233">
        <f t="shared" si="34"/>
        <v>33441.27903374067</v>
      </c>
      <c r="W124" s="233">
        <f t="shared" si="34"/>
        <v>33689.522742858018</v>
      </c>
      <c r="X124" s="233">
        <f t="shared" si="34"/>
        <v>33963.736306347164</v>
      </c>
      <c r="Y124" s="233">
        <f t="shared" si="34"/>
        <v>34264.145546940374</v>
      </c>
      <c r="Z124" s="233">
        <f t="shared" si="34"/>
        <v>34594.330271159793</v>
      </c>
      <c r="AA124" s="233">
        <f t="shared" si="34"/>
        <v>34958.357867602368</v>
      </c>
      <c r="AB124" s="233">
        <f t="shared" si="34"/>
        <v>35360.849721147824</v>
      </c>
      <c r="AC124" s="266">
        <f t="shared" si="34"/>
        <v>35807.056673698287</v>
      </c>
      <c r="AD124" s="348">
        <f t="shared" si="30"/>
        <v>753925.31406538771</v>
      </c>
    </row>
    <row r="125" spans="1:30" s="5" customFormat="1" ht="12">
      <c r="A125" s="58"/>
      <c r="B125" s="58"/>
      <c r="C125" s="5" t="s">
        <v>590</v>
      </c>
      <c r="D125" s="212"/>
      <c r="E125" s="220"/>
      <c r="F125" s="83">
        <f>F124</f>
        <v>0</v>
      </c>
      <c r="G125" s="83">
        <f t="shared" ref="G125:AC125" si="35">G124</f>
        <v>17305.905922395203</v>
      </c>
      <c r="H125" s="83">
        <f t="shared" si="35"/>
        <v>34210.075703199225</v>
      </c>
      <c r="I125" s="83">
        <f>I124</f>
        <v>33829.849991455005</v>
      </c>
      <c r="J125" s="83">
        <f t="shared" si="35"/>
        <v>33470.251944304706</v>
      </c>
      <c r="K125" s="83">
        <f t="shared" si="35"/>
        <v>33130.541477849758</v>
      </c>
      <c r="L125" s="83">
        <f t="shared" si="35"/>
        <v>32810.11557007517</v>
      </c>
      <c r="M125" s="83">
        <f t="shared" si="35"/>
        <v>32508.504547858032</v>
      </c>
      <c r="N125" s="83">
        <f t="shared" si="35"/>
        <v>32013.00302758042</v>
      </c>
      <c r="O125" s="83">
        <f t="shared" si="35"/>
        <v>32153.232146311704</v>
      </c>
      <c r="P125" s="83">
        <f t="shared" si="35"/>
        <v>32301.705496364033</v>
      </c>
      <c r="Q125" s="83">
        <f t="shared" si="35"/>
        <v>32459.557504185883</v>
      </c>
      <c r="R125" s="83">
        <f t="shared" si="35"/>
        <v>32628.077093441745</v>
      </c>
      <c r="S125" s="83">
        <f t="shared" si="35"/>
        <v>32808.728728885595</v>
      </c>
      <c r="T125" s="83">
        <f t="shared" si="35"/>
        <v>33003.176326642766</v>
      </c>
      <c r="U125" s="83">
        <f t="shared" si="35"/>
        <v>33213.31042134406</v>
      </c>
      <c r="V125" s="83">
        <f t="shared" si="35"/>
        <v>33441.27903374067</v>
      </c>
      <c r="W125" s="83">
        <f t="shared" si="35"/>
        <v>33689.522742858018</v>
      </c>
      <c r="X125" s="83">
        <f t="shared" si="35"/>
        <v>33963.736306347164</v>
      </c>
      <c r="Y125" s="83">
        <f t="shared" si="35"/>
        <v>34264.145546940374</v>
      </c>
      <c r="Z125" s="83">
        <f t="shared" si="35"/>
        <v>34594.330271159793</v>
      </c>
      <c r="AA125" s="83">
        <f t="shared" si="35"/>
        <v>34958.357867602368</v>
      </c>
      <c r="AB125" s="83">
        <f t="shared" si="35"/>
        <v>35360.849721147824</v>
      </c>
      <c r="AC125" s="272">
        <f t="shared" si="35"/>
        <v>35807.056673698287</v>
      </c>
      <c r="AD125" s="355">
        <f t="shared" si="30"/>
        <v>753925.31406538771</v>
      </c>
    </row>
    <row r="126" spans="1:30" s="110" customFormat="1" ht="12">
      <c r="A126" s="107"/>
      <c r="B126" s="107"/>
      <c r="C126" s="108"/>
      <c r="D126" s="208"/>
      <c r="E126" s="216"/>
      <c r="F126" s="109"/>
      <c r="G126" s="109"/>
      <c r="H126" s="109"/>
      <c r="I126" s="109"/>
      <c r="J126" s="109"/>
      <c r="K126" s="109"/>
      <c r="L126" s="109"/>
      <c r="M126" s="109"/>
      <c r="N126" s="109"/>
      <c r="O126" s="109"/>
      <c r="P126" s="109"/>
      <c r="Q126" s="109"/>
      <c r="R126" s="109"/>
      <c r="S126" s="109"/>
      <c r="T126" s="109"/>
      <c r="U126" s="109"/>
      <c r="V126" s="109"/>
      <c r="W126" s="109"/>
      <c r="X126" s="109"/>
      <c r="Y126" s="109"/>
      <c r="Z126" s="109"/>
      <c r="AC126" s="262"/>
      <c r="AD126" s="337"/>
    </row>
    <row r="127" spans="1:30" s="53" customFormat="1" ht="12">
      <c r="A127" s="58" t="s">
        <v>344</v>
      </c>
      <c r="B127" s="58"/>
      <c r="D127" s="209"/>
      <c r="E127" s="217"/>
      <c r="F127" s="45"/>
      <c r="G127" s="57"/>
      <c r="AC127" s="263"/>
      <c r="AD127" s="338"/>
    </row>
    <row r="128" spans="1:30" s="53" customFormat="1" ht="12">
      <c r="A128" s="55"/>
      <c r="B128" s="55"/>
      <c r="D128" s="209"/>
      <c r="E128" s="217"/>
      <c r="F128" s="45"/>
      <c r="G128" s="57"/>
      <c r="AC128" s="263"/>
      <c r="AD128" s="338"/>
    </row>
    <row r="129" spans="1:30" s="53" customFormat="1" ht="12">
      <c r="A129" s="45"/>
      <c r="B129" s="45"/>
      <c r="C129" s="46" t="s">
        <v>88</v>
      </c>
      <c r="D129" s="209"/>
      <c r="E129" s="217"/>
      <c r="F129" s="45"/>
      <c r="G129" s="57"/>
      <c r="L129" s="61"/>
      <c r="AC129" s="263"/>
      <c r="AD129" s="338"/>
    </row>
    <row r="130" spans="1:30" s="53" customFormat="1" ht="12">
      <c r="A130" s="45"/>
      <c r="B130" s="45"/>
      <c r="C130" s="78" t="s">
        <v>42</v>
      </c>
      <c r="D130" s="209"/>
      <c r="E130" s="217"/>
      <c r="F130" s="45"/>
      <c r="G130" s="57"/>
      <c r="L130" s="61"/>
      <c r="AC130" s="263"/>
      <c r="AD130" s="338"/>
    </row>
    <row r="131" spans="1:30" s="53" customFormat="1" ht="12">
      <c r="A131" s="45"/>
      <c r="B131" s="45"/>
      <c r="C131" s="48" t="s">
        <v>97</v>
      </c>
      <c r="D131" s="209"/>
      <c r="E131" s="219"/>
      <c r="F131" s="71">
        <f>((('Emissions Assumptions'!D9/907185)+('Emissions Assumptions'!D11/907185))*'Forest Glen'!F36)+(('Emissions Assumptions'!D10/907185)*'Forest Glen'!F37)</f>
        <v>0</v>
      </c>
      <c r="G131" s="71">
        <f>((('Emissions Assumptions'!E9/907185)+('Emissions Assumptions'!E11/907185))*'Forest Glen'!G36)+(('Emissions Assumptions'!E10/907185)*'Forest Glen'!G37)</f>
        <v>0</v>
      </c>
      <c r="H131" s="71">
        <f>((('Emissions Assumptions'!F9/907185)+('Emissions Assumptions'!F11/907185))*'Forest Glen'!H36)+(('Emissions Assumptions'!F10/907185)*'Forest Glen'!H37)</f>
        <v>0</v>
      </c>
      <c r="I131" s="71">
        <f>((('Emissions Assumptions'!G9/907185)+('Emissions Assumptions'!G11/907185))*'Forest Glen'!I36)+(('Emissions Assumptions'!G10/907185)*'Forest Glen'!I37)</f>
        <v>0</v>
      </c>
      <c r="J131" s="71">
        <f>((('Emissions Assumptions'!H9/907185)+('Emissions Assumptions'!H11/907185))*'Forest Glen'!J36)+(('Emissions Assumptions'!H10/907185)*'Forest Glen'!J37)</f>
        <v>-7.0983206929136497E-2</v>
      </c>
      <c r="K131" s="71">
        <f>((('Emissions Assumptions'!I9/907185)+('Emissions Assumptions'!I11/907185))*'Forest Glen'!K36)+(('Emissions Assumptions'!I10/907185)*'Forest Glen'!K37)</f>
        <v>-9.1579974940534742E-2</v>
      </c>
      <c r="L131" s="71">
        <f>((('Emissions Assumptions'!J9/907185)+('Emissions Assumptions'!J11/907185))*'Forest Glen'!L36)+(('Emissions Assumptions'!J10/907185)*'Forest Glen'!L37)</f>
        <v>-8.7444191355362064E-2</v>
      </c>
      <c r="M131" s="71">
        <f>((('Emissions Assumptions'!K9/907185)+('Emissions Assumptions'!K11/907185))*'Forest Glen'!M36)+(('Emissions Assumptions'!K10/907185)*'Forest Glen'!M37)</f>
        <v>-5.556757548868678E-2</v>
      </c>
      <c r="N131" s="71">
        <f>((('Emissions Assumptions'!L9/907185)+('Emissions Assumptions'!L11/907185))*'Forest Glen'!N36)+(('Emissions Assumptions'!L10/907185)*'Forest Glen'!N37)</f>
        <v>-7.7808098296089007E-2</v>
      </c>
      <c r="O131" s="71">
        <f>((('Emissions Assumptions'!M9/907185)+('Emissions Assumptions'!M11/907185))*'Forest Glen'!O36)+(('Emissions Assumptions'!M10/907185)*'Forest Glen'!O37)</f>
        <v>-7.2423637518812423E-2</v>
      </c>
      <c r="P131" s="71">
        <f>((('Emissions Assumptions'!N9/907185)+('Emissions Assumptions'!N11/907185))*'Forest Glen'!P36)+(('Emissions Assumptions'!N10/907185)*'Forest Glen'!P37)</f>
        <v>-7.2047211969132538E-2</v>
      </c>
      <c r="Q131" s="71">
        <f>((('Emissions Assumptions'!O9/907185)+('Emissions Assumptions'!O11/907185))*'Forest Glen'!Q36)+(('Emissions Assumptions'!O10/907185)*'Forest Glen'!Q37)</f>
        <v>-7.1663381983438107E-2</v>
      </c>
      <c r="R131" s="71">
        <f>((('Emissions Assumptions'!P9/907185)+('Emissions Assumptions'!P11/907185))*'Forest Glen'!R36)+(('Emissions Assumptions'!P10/907185)*'Forest Glen'!R37)</f>
        <v>-7.1272018936838294E-2</v>
      </c>
      <c r="S131" s="71">
        <f>((('Emissions Assumptions'!Q9/907185)+('Emissions Assumptions'!Q11/907185))*'Forest Glen'!S36)+(('Emissions Assumptions'!Q10/907185)*'Forest Glen'!S37)</f>
        <v>-7.0872992329706633E-2</v>
      </c>
      <c r="T131" s="71">
        <f>((('Emissions Assumptions'!R9/907185)+('Emissions Assumptions'!R11/907185))*'Forest Glen'!T36)+(('Emissions Assumptions'!R10/907185)*'Forest Glen'!T37)</f>
        <v>-7.0466169763048814E-2</v>
      </c>
      <c r="U131" s="71">
        <f>((('Emissions Assumptions'!S9/907185)+('Emissions Assumptions'!S11/907185))*'Forest Glen'!U36)+(('Emissions Assumptions'!S10/907185)*'Forest Glen'!U37)</f>
        <v>-7.0051416913565423E-2</v>
      </c>
      <c r="V131" s="71">
        <f>((('Emissions Assumptions'!T9/907185)+('Emissions Assumptions'!T11/907185))*'Forest Glen'!V36)+(('Emissions Assumptions'!T10/907185)*'Forest Glen'!V37)</f>
        <v>-6.9628597508405499E-2</v>
      </c>
      <c r="W131" s="71">
        <f>((('Emissions Assumptions'!U9/907185)+('Emissions Assumptions'!U11/907185))*'Forest Glen'!W36)+(('Emissions Assumptions'!U10/907185)*'Forest Glen'!W37)</f>
        <v>-6.919757329960799E-2</v>
      </c>
      <c r="X131" s="71">
        <f>((('Emissions Assumptions'!V9/907185)+('Emissions Assumptions'!V11/907185))*'Forest Glen'!X36)+(('Emissions Assumptions'!V10/907185)*'Forest Glen'!X37)</f>
        <v>-6.8923660228834227E-2</v>
      </c>
      <c r="Y131" s="71">
        <f>((('Emissions Assumptions'!W9/907185)+('Emissions Assumptions'!W11/907185))*'Forest Glen'!Y36)+(('Emissions Assumptions'!W10/907185)*'Forest Glen'!Y37)</f>
        <v>-6.8473773949221495E-2</v>
      </c>
      <c r="Z131" s="71">
        <f>((('Emissions Assumptions'!X9/907185)+('Emissions Assumptions'!X11/907185))*'Forest Glen'!Z36)+(('Emissions Assumptions'!X10/907185)*'Forest Glen'!Z37)</f>
        <v>-6.8955077505620341E-2</v>
      </c>
      <c r="AA131" s="71">
        <f>((('Emissions Assumptions'!Y9/907185)+('Emissions Assumptions'!Y11/907185))*'Forest Glen'!AA36)+(('Emissions Assumptions'!Y10/907185)*'Forest Glen'!AA37)</f>
        <v>-6.9441030915227547E-2</v>
      </c>
      <c r="AB131" s="71">
        <f>((('Emissions Assumptions'!Z9/907185)+('Emissions Assumptions'!Z11/907185))*'Forest Glen'!AB36)+(('Emissions Assumptions'!Z10/907185)*'Forest Glen'!AB37)</f>
        <v>-6.993168067657525E-2</v>
      </c>
      <c r="AC131" s="388">
        <f>((('Emissions Assumptions'!AA9/907185)+('Emissions Assumptions'!AA11/907185))*'Forest Glen'!AC36)+(('Emissions Assumptions'!AA10/907185)*'Forest Glen'!AC37)</f>
        <v>-7.0427073753180858E-2</v>
      </c>
      <c r="AD131" s="357">
        <f t="shared" si="30"/>
        <v>-1.4371583442610247</v>
      </c>
    </row>
    <row r="132" spans="1:30" s="53" customFormat="1" ht="12">
      <c r="A132" s="45"/>
      <c r="B132" s="45"/>
      <c r="C132" s="48" t="s">
        <v>98</v>
      </c>
      <c r="D132" s="209"/>
      <c r="E132" s="219"/>
      <c r="F132" s="71">
        <f>(('Emissions Assumptions'!D4/907185)*F22)+(('Emissions Assumptions'!D5/907185)*F23)</f>
        <v>0</v>
      </c>
      <c r="G132" s="71">
        <f>(('Emissions Assumptions'!E4/907185)*G22)+(('Emissions Assumptions'!E5/907185)*G23)</f>
        <v>-4.5004542276828229E-2</v>
      </c>
      <c r="H132" s="71">
        <f>(('Emissions Assumptions'!F4/907185)*H22)+(('Emissions Assumptions'!F5/907185)*H23)</f>
        <v>-8.5021240125812803E-2</v>
      </c>
      <c r="I132" s="71">
        <f>(('Emissions Assumptions'!G4/907185)*I22)+(('Emissions Assumptions'!G5/907185)*I23)</f>
        <v>-7.9909799276617843E-2</v>
      </c>
      <c r="J132" s="71">
        <f>(('Emissions Assumptions'!H4/907185)*J22)+(('Emissions Assumptions'!H5/907185)*J23)</f>
        <v>-7.467385384607253E-2</v>
      </c>
      <c r="K132" s="71">
        <f>(('Emissions Assumptions'!I4/907185)*K22)+(('Emissions Assumptions'!I5/907185)*K23)</f>
        <v>-6.9312265510147075E-2</v>
      </c>
      <c r="L132" s="71">
        <f>(('Emissions Assumptions'!J4/907185)*L22)+(('Emissions Assumptions'!J5/907185)*L23)</f>
        <v>-6.3823619803426823E-2</v>
      </c>
      <c r="M132" s="71">
        <f>(('Emissions Assumptions'!K4/907185)*M22)+(('Emissions Assumptions'!K5/907185)*M23)</f>
        <v>-5.8206171869698078E-2</v>
      </c>
      <c r="N132" s="71">
        <f>(('Emissions Assumptions'!L4/907185)*N22)+(('Emissions Assumptions'!L5/907185)*N23)</f>
        <v>-5.2112082556088513E-2</v>
      </c>
      <c r="O132" s="71">
        <f>(('Emissions Assumptions'!M4/907185)*O22)+(('Emissions Assumptions'!M5/907185)*O23)</f>
        <v>-4.5968929237816272E-2</v>
      </c>
      <c r="P132" s="71">
        <f>(('Emissions Assumptions'!N4/907185)*P22)+(('Emissions Assumptions'!N5/907185)*P23)</f>
        <v>-4.5361592340962285E-2</v>
      </c>
      <c r="Q132" s="71">
        <f>(('Emissions Assumptions'!O4/907185)*Q22)+(('Emissions Assumptions'!O5/907185)*Q23)</f>
        <v>-4.4758755607930259E-2</v>
      </c>
      <c r="R132" s="71">
        <f>(('Emissions Assumptions'!P4/907185)*R22)+(('Emissions Assumptions'!P5/907185)*R23)</f>
        <v>-4.4161435786137911E-2</v>
      </c>
      <c r="S132" s="71">
        <f>(('Emissions Assumptions'!Q4/907185)*S22)+(('Emissions Assumptions'!Q5/907185)*S23)</f>
        <v>-4.3570749943397553E-2</v>
      </c>
      <c r="T132" s="71">
        <f>(('Emissions Assumptions'!R4/907185)*T22)+(('Emissions Assumptions'!R5/907185)*T23)</f>
        <v>-4.2987923887920776E-2</v>
      </c>
      <c r="U132" s="71">
        <f>(('Emissions Assumptions'!S4/907185)*U22)+(('Emissions Assumptions'!S5/907185)*U23)</f>
        <v>-4.2414301014616601E-2</v>
      </c>
      <c r="V132" s="71">
        <f>(('Emissions Assumptions'!T4/907185)*V22)+(('Emissions Assumptions'!T5/907185)*V23)</f>
        <v>-4.1851351536742798E-2</v>
      </c>
      <c r="W132" s="71">
        <f>(('Emissions Assumptions'!U4/907185)*W22)+(('Emissions Assumptions'!U5/907185)*W23)</f>
        <v>-4.130068204279147E-2</v>
      </c>
      <c r="X132" s="71">
        <f>(('Emissions Assumptions'!V4/907185)*X22)+(('Emissions Assumptions'!V5/907185)*X23)</f>
        <v>-4.0767552372163729E-2</v>
      </c>
      <c r="Y132" s="71">
        <f>(('Emissions Assumptions'!W4/907185)*Y22)+(('Emissions Assumptions'!W5/907185)*Y23)</f>
        <v>-4.0250210968588357E-2</v>
      </c>
      <c r="Z132" s="71">
        <f>(('Emissions Assumptions'!X4/907185)*Z22)+(('Emissions Assumptions'!X5/907185)*Z23)</f>
        <v>-4.0659486526261682E-2</v>
      </c>
      <c r="AA132" s="71">
        <f>(('Emissions Assumptions'!Y4/907185)*AA22)+(('Emissions Assumptions'!Y5/907185)*AA23)</f>
        <v>-4.1108967932473553E-2</v>
      </c>
      <c r="AB132" s="71">
        <f>(('Emissions Assumptions'!Z4/907185)*AB22)+(('Emissions Assumptions'!Z5/907185)*AB23)</f>
        <v>-4.1604155347304002E-2</v>
      </c>
      <c r="AC132" s="388">
        <f>(('Emissions Assumptions'!AA4/907185)*AC22)+(('Emissions Assumptions'!AA5/907185)*AC23)</f>
        <v>-4.2151301352732082E-2</v>
      </c>
      <c r="AD132" s="357">
        <f t="shared" si="30"/>
        <v>-1.1669809711625316</v>
      </c>
    </row>
    <row r="133" spans="1:30" s="53" customFormat="1" ht="12">
      <c r="A133" s="45"/>
      <c r="B133" s="45"/>
      <c r="C133" s="48" t="s">
        <v>99</v>
      </c>
      <c r="D133" s="209"/>
      <c r="E133" s="219"/>
      <c r="F133" s="71">
        <f>(('Emissions Assumptions'!D14/907185)*F22)+(('Emissions Assumptions'!D18/907185)*F23)+(('Emissions Assumptions'!D19/907185)*F22)</f>
        <v>0</v>
      </c>
      <c r="G133" s="71">
        <f>(('Emissions Assumptions'!E14/907185)*G22)+(('Emissions Assumptions'!E18/907185)*G23)+(('Emissions Assumptions'!E19/907185)*G22)</f>
        <v>-6.4335860949006854E-2</v>
      </c>
      <c r="H133" s="71">
        <f>(('Emissions Assumptions'!F14/907185)*H22)+(('Emissions Assumptions'!F18/907185)*H23)+(('Emissions Assumptions'!F19/907185)*H22)</f>
        <v>-0.12140490492567384</v>
      </c>
      <c r="I133" s="71">
        <f>(('Emissions Assumptions'!G14/907185)*I22)+(('Emissions Assumptions'!G18/907185)*I23)+(('Emissions Assumptions'!G19/907185)*I22)</f>
        <v>-0.11395835206149592</v>
      </c>
      <c r="J133" s="71">
        <f>(('Emissions Assumptions'!H14/907185)*J22)+(('Emissions Assumptions'!H18/907185)*J23)+(('Emissions Assumptions'!H19/907185)*J22)</f>
        <v>-0.10633071216071004</v>
      </c>
      <c r="K133" s="71">
        <f>(('Emissions Assumptions'!I14/907185)*K22)+(('Emissions Assumptions'!I18/907185)*K23)+(('Emissions Assumptions'!I19/907185)*K22)</f>
        <v>-9.8520295401945596E-2</v>
      </c>
      <c r="L133" s="71">
        <f>(('Emissions Assumptions'!J14/907185)*L22)+(('Emissions Assumptions'!J18/907185)*L23)+(('Emissions Assumptions'!J19/907185)*L22)</f>
        <v>-9.0525005910961395E-2</v>
      </c>
      <c r="M133" s="71">
        <f>(('Emissions Assumptions'!K14/907185)*M22)+(('Emissions Assumptions'!K18/907185)*M23)+(('Emissions Assumptions'!K19/907185)*M22)</f>
        <v>-8.2342262288302395E-2</v>
      </c>
      <c r="N133" s="71">
        <f>(('Emissions Assumptions'!L14/907185)*N22)+(('Emissions Assumptions'!L18/907185)*N23)+(('Emissions Assumptions'!L19/907185)*N22)</f>
        <v>-7.348144441030767E-2</v>
      </c>
      <c r="O133" s="71">
        <f>(('Emissions Assumptions'!M14/907185)*O22)+(('Emissions Assumptions'!M18/907185)*O23)+(('Emissions Assumptions'!M19/907185)*O22)</f>
        <v>-6.4548862115126837E-2</v>
      </c>
      <c r="P133" s="71">
        <f>(('Emissions Assumptions'!N14/907185)*P22)+(('Emissions Assumptions'!N18/907185)*P23)+(('Emissions Assumptions'!N19/907185)*P22)</f>
        <v>-6.3142727932271214E-2</v>
      </c>
      <c r="Q133" s="71">
        <f>(('Emissions Assumptions'!O14/907185)*Q22)+(('Emissions Assumptions'!O18/907185)*Q23)+(('Emissions Assumptions'!O19/907185)*Q22)</f>
        <v>-6.1736916299123888E-2</v>
      </c>
      <c r="R133" s="71">
        <f>(('Emissions Assumptions'!P14/907185)*R22)+(('Emissions Assumptions'!P18/907185)*R23)+(('Emissions Assumptions'!P19/907185)*R22)</f>
        <v>-6.0332297549795889E-2</v>
      </c>
      <c r="S133" s="71">
        <f>(('Emissions Assumptions'!Q14/907185)*S22)+(('Emissions Assumptions'!Q18/907185)*S23)+(('Emissions Assumptions'!Q19/907185)*S22)</f>
        <v>-5.8929781223019451E-2</v>
      </c>
      <c r="T133" s="71">
        <f>(('Emissions Assumptions'!R14/907185)*T22)+(('Emissions Assumptions'!R18/907185)*T23)+(('Emissions Assumptions'!R19/907185)*T22)</f>
        <v>-5.7530310500891031E-2</v>
      </c>
      <c r="U133" s="71">
        <f>(('Emissions Assumptions'!S14/907185)*U22)+(('Emissions Assumptions'!S18/907185)*U23)+(('Emissions Assumptions'!S19/907185)*U22)</f>
        <v>-5.6134854392369496E-2</v>
      </c>
      <c r="V133" s="71">
        <f>(('Emissions Assumptions'!T14/907185)*V22)+(('Emissions Assumptions'!T18/907185)*V23)+(('Emissions Assumptions'!T19/907185)*V22)</f>
        <v>-5.4744397148569671E-2</v>
      </c>
      <c r="W133" s="71">
        <f>(('Emissions Assumptions'!U14/907185)*W22)+(('Emissions Assumptions'!U18/907185)*W23)+(('Emissions Assumptions'!U19/907185)*W22)</f>
        <v>-5.335992429875009E-2</v>
      </c>
      <c r="X133" s="71">
        <f>(('Emissions Assumptions'!V14/907185)*X22)+(('Emissions Assumptions'!V18/907185)*X23)+(('Emissions Assumptions'!V19/907185)*X22)</f>
        <v>-5.1986876813607072E-2</v>
      </c>
      <c r="Y133" s="71">
        <f>(('Emissions Assumptions'!W14/907185)*Y22)+(('Emissions Assumptions'!W18/907185)*Y23)+(('Emissions Assumptions'!W19/907185)*Y22)</f>
        <v>-5.062139552602405E-2</v>
      </c>
      <c r="Z133" s="71">
        <f>(('Emissions Assumptions'!X14/907185)*Z22)+(('Emissions Assumptions'!X18/907185)*Z23)+(('Emissions Assumptions'!X19/907185)*Z22)</f>
        <v>-5.1136128228923015E-2</v>
      </c>
      <c r="AA133" s="71">
        <f>(('Emissions Assumptions'!Y14/907185)*AA22)+(('Emissions Assumptions'!Y18/907185)*AA23)+(('Emissions Assumptions'!Y19/907185)*AA22)</f>
        <v>-5.170142653414684E-2</v>
      </c>
      <c r="AB133" s="71">
        <f>(('Emissions Assumptions'!Z14/907185)*AB22)+(('Emissions Assumptions'!Z18/907185)*AB23)+(('Emissions Assumptions'!Z19/907185)*AB22)</f>
        <v>-5.2324207816093524E-2</v>
      </c>
      <c r="AC133" s="388">
        <f>(('Emissions Assumptions'!AA14/907185)*AC22)+(('Emissions Assumptions'!AA18/907185)*AC23)+(('Emissions Assumptions'!AA19/907185)*AC22)</f>
        <v>-5.3012335745978752E-2</v>
      </c>
      <c r="AD133" s="357">
        <f t="shared" si="30"/>
        <v>-1.5921412802330948</v>
      </c>
    </row>
    <row r="134" spans="1:30" s="53" customFormat="1" ht="12">
      <c r="A134" s="45"/>
      <c r="B134" s="45"/>
      <c r="C134" s="48" t="s">
        <v>100</v>
      </c>
      <c r="D134" s="209"/>
      <c r="E134" s="219"/>
      <c r="F134" s="71">
        <f>('Emissions Assumptions'!D21/907185)*F23</f>
        <v>0</v>
      </c>
      <c r="G134" s="71">
        <f>('Emissions Assumptions'!E21/907185)*G23</f>
        <v>-47.751463154866009</v>
      </c>
      <c r="H134" s="71">
        <f>('Emissions Assumptions'!F21/907185)*H23</f>
        <v>-94.317719422391775</v>
      </c>
      <c r="I134" s="71">
        <f>('Emissions Assumptions'!G21/907185)*I23</f>
        <v>-93.093141581776052</v>
      </c>
      <c r="J134" s="71">
        <f>('Emissions Assumptions'!H21/907185)*J23</f>
        <v>-91.82982080703745</v>
      </c>
      <c r="K134" s="71">
        <f>('Emissions Assumptions'!I21/907185)*K23</f>
        <v>-90.528431214564293</v>
      </c>
      <c r="L134" s="71">
        <f>('Emissions Assumptions'!J21/907185)*L23</f>
        <v>-89.189693877283517</v>
      </c>
      <c r="M134" s="71">
        <f>('Emissions Assumptions'!K21/907185)*M23</f>
        <v>-87.814377056393411</v>
      </c>
      <c r="N134" s="71">
        <f>('Emissions Assumptions'!L21/907185)*N23</f>
        <v>-85.833892637694163</v>
      </c>
      <c r="O134" s="71">
        <f>('Emissions Assumptions'!M21/907185)*O23</f>
        <v>-83.850259816977314</v>
      </c>
      <c r="P134" s="71">
        <f>('Emissions Assumptions'!N21/907185)*P23</f>
        <v>-83.207583427857003</v>
      </c>
      <c r="Q134" s="71">
        <f>('Emissions Assumptions'!O21/907185)*Q23</f>
        <v>-82.57815654287954</v>
      </c>
      <c r="R134" s="71">
        <f>('Emissions Assumptions'!P21/907185)*R23</f>
        <v>-81.964302320197177</v>
      </c>
      <c r="S134" s="71">
        <f>('Emissions Assumptions'!Q21/907185)*S23</f>
        <v>-81.36861237155135</v>
      </c>
      <c r="T134" s="71">
        <f>('Emissions Assumptions'!R21/907185)*T23</f>
        <v>-80.793976735035585</v>
      </c>
      <c r="U134" s="71">
        <f>('Emissions Assumptions'!S21/907185)*U23</f>
        <v>-80.243617024501219</v>
      </c>
      <c r="V134" s="71">
        <f>('Emissions Assumptions'!T21/907185)*V23</f>
        <v>-79.721123063818311</v>
      </c>
      <c r="W134" s="71">
        <f>('Emissions Assumptions'!U21/907185)*W23</f>
        <v>-79.230493339081988</v>
      </c>
      <c r="X134" s="71">
        <f>('Emissions Assumptions'!V21/907185)*X23</f>
        <v>-78.782957025649367</v>
      </c>
      <c r="Y134" s="71">
        <f>('Emissions Assumptions'!W21/907185)*Y23</f>
        <v>-78.376495784913018</v>
      </c>
      <c r="Z134" s="71">
        <f>('Emissions Assumptions'!X21/907185)*Z23</f>
        <v>-79.173450216925431</v>
      </c>
      <c r="AA134" s="71">
        <f>('Emissions Assumptions'!Y21/907185)*AA23</f>
        <v>-80.048694760782709</v>
      </c>
      <c r="AB134" s="71">
        <f>('Emissions Assumptions'!Z21/907185)*AB23</f>
        <v>-81.012939503785162</v>
      </c>
      <c r="AC134" s="388">
        <f>('Emissions Assumptions'!AA21/907185)*AC23</f>
        <v>-82.078359673175882</v>
      </c>
      <c r="AD134" s="357">
        <f t="shared" si="30"/>
        <v>-1892.7895613591377</v>
      </c>
    </row>
    <row r="135" spans="1:30" s="53" customFormat="1" ht="12">
      <c r="A135" s="45"/>
      <c r="B135" s="45"/>
      <c r="C135" s="224" t="s">
        <v>647</v>
      </c>
      <c r="D135" s="209"/>
      <c r="E135" s="219"/>
      <c r="F135" s="71">
        <f>('Emissions Assumptions'!D25/907185)*F23</f>
        <v>0</v>
      </c>
      <c r="G135" s="71">
        <f>('Emissions Assumptions'!E25/907185)*G23</f>
        <v>-9.3096766209329002E-4</v>
      </c>
      <c r="H135" s="71">
        <f>('Emissions Assumptions'!F25/907185)*H23</f>
        <v>-1.8827557160955644E-3</v>
      </c>
      <c r="I135" s="71">
        <f>('Emissions Assumptions'!G25/907185)*I23</f>
        <v>-1.9037900481867316E-3</v>
      </c>
      <c r="J135" s="71">
        <f>('Emissions Assumptions'!H25/907185)*J23</f>
        <v>-1.9250675874770062E-3</v>
      </c>
      <c r="K135" s="71">
        <f>('Emissions Assumptions'!I25/907185)*K23</f>
        <v>-1.9692567396497264E-3</v>
      </c>
      <c r="L135" s="71">
        <f>('Emissions Assumptions'!J25/907185)*L23</f>
        <v>-1.9913793397706311E-3</v>
      </c>
      <c r="M135" s="71">
        <f>('Emissions Assumptions'!K25/907185)*M23</f>
        <v>-2.0138633908846557E-3</v>
      </c>
      <c r="N135" s="71">
        <f>('Emissions Assumptions'!L25/907185)*N23</f>
        <v>-2.0233359779926225E-3</v>
      </c>
      <c r="O135" s="71">
        <f>('Emissions Assumptions'!M25/907185)*O23</f>
        <v>-2.0332756733660619E-3</v>
      </c>
      <c r="P135" s="71">
        <f>('Emissions Assumptions'!N25/907185)*P23</f>
        <v>-2.0437463774156906E-3</v>
      </c>
      <c r="Q135" s="71">
        <f>('Emissions Assumptions'!O25/907185)*Q23</f>
        <v>-2.054820732128411E-3</v>
      </c>
      <c r="R135" s="71">
        <f>('Emissions Assumptions'!P25/907185)*R23</f>
        <v>-2.0665813169149345E-3</v>
      </c>
      <c r="S135" s="71">
        <f>('Emissions Assumptions'!Q25/907185)*S23</f>
        <v>-2.0791220080493564E-3</v>
      </c>
      <c r="T135" s="71">
        <f>('Emissions Assumptions'!R25/907185)*T23</f>
        <v>-2.0925495240800701E-3</v>
      </c>
      <c r="U135" s="71">
        <f>('Emissions Assumptions'!S25/907185)*U23</f>
        <v>-2.1069851826528885E-3</v>
      </c>
      <c r="V135" s="71">
        <f>('Emissions Assumptions'!T25/907185)*V23</f>
        <v>-2.1225668976675694E-3</v>
      </c>
      <c r="W135" s="71">
        <f>('Emissions Assumptions'!U25/907185)*W23</f>
        <v>-2.1394514496453636E-3</v>
      </c>
      <c r="X135" s="71">
        <f>('Emissions Assumptions'!V25/907185)*X23</f>
        <v>-2.1580027114408884E-3</v>
      </c>
      <c r="Y135" s="71">
        <f>('Emissions Assumptions'!W25/907185)*Y23</f>
        <v>-2.2032748623410257E-3</v>
      </c>
      <c r="Z135" s="71">
        <f>('Emissions Assumptions'!X25/907185)*Z23</f>
        <v>-2.2256783858578578E-3</v>
      </c>
      <c r="AA135" s="71">
        <f>('Emissions Assumptions'!Y25/907185)*AA23</f>
        <v>-2.2502827558615124E-3</v>
      </c>
      <c r="AB135" s="71">
        <f>('Emissions Assumptions'!Z25/907185)*AB23</f>
        <v>-2.2773890481513847E-3</v>
      </c>
      <c r="AC135" s="388">
        <f>('Emissions Assumptions'!AA25/907185)*AC23</f>
        <v>-2.3073395256962299E-3</v>
      </c>
      <c r="AD135" s="357">
        <f t="shared" si="30"/>
        <v>-4.680148291341947E-2</v>
      </c>
    </row>
    <row r="136" spans="1:30" s="53" customFormat="1" ht="12">
      <c r="A136" s="45"/>
      <c r="B136" s="45"/>
      <c r="C136" s="70" t="s">
        <v>115</v>
      </c>
      <c r="D136" s="209"/>
      <c r="E136" s="217"/>
      <c r="F136" s="45"/>
      <c r="G136" s="45"/>
      <c r="H136" s="45"/>
      <c r="I136" s="45"/>
      <c r="J136" s="45"/>
      <c r="K136" s="45"/>
      <c r="L136" s="45"/>
      <c r="M136" s="45"/>
      <c r="N136" s="45"/>
      <c r="O136" s="45"/>
      <c r="P136" s="45"/>
      <c r="Q136" s="45"/>
      <c r="R136" s="45"/>
      <c r="S136" s="45"/>
      <c r="T136" s="45"/>
      <c r="U136" s="45"/>
      <c r="V136" s="45"/>
      <c r="W136" s="45"/>
      <c r="X136" s="45"/>
      <c r="Y136" s="45"/>
      <c r="Z136" s="45"/>
      <c r="AA136" s="45"/>
      <c r="AB136" s="45"/>
      <c r="AC136" s="263"/>
      <c r="AD136" s="338"/>
    </row>
    <row r="137" spans="1:30" s="53" customFormat="1" ht="12">
      <c r="A137" s="45"/>
      <c r="B137" s="45"/>
      <c r="C137" s="48" t="s">
        <v>43</v>
      </c>
      <c r="D137" s="209"/>
      <c r="E137" s="220"/>
      <c r="F137" s="56">
        <f>-(F131*'Emissions Assumptions'!D12)</f>
        <v>0</v>
      </c>
      <c r="G137" s="56">
        <f>-(G131*'Emissions Assumptions'!E12)</f>
        <v>0</v>
      </c>
      <c r="H137" s="56">
        <f>-(H131*'Emissions Assumptions'!F12)</f>
        <v>0</v>
      </c>
      <c r="I137" s="56">
        <f>-(I131*'Emissions Assumptions'!G12)</f>
        <v>0</v>
      </c>
      <c r="J137" s="56">
        <f>-(J131*'Emissions Assumptions'!H12)</f>
        <v>92.278169007877452</v>
      </c>
      <c r="K137" s="56">
        <f>-(K131*'Emissions Assumptions'!I12)</f>
        <v>119.05396742269517</v>
      </c>
      <c r="L137" s="56">
        <f>-(L131*'Emissions Assumptions'!J12)</f>
        <v>113.67744876197068</v>
      </c>
      <c r="M137" s="56">
        <f>-(M131*'Emissions Assumptions'!K12)</f>
        <v>72.237848135292808</v>
      </c>
      <c r="N137" s="56">
        <f>-(N131*'Emissions Assumptions'!L12)</f>
        <v>101.15052778491571</v>
      </c>
      <c r="O137" s="56">
        <f>-(O131*'Emissions Assumptions'!M12)</f>
        <v>94.150728774456155</v>
      </c>
      <c r="P137" s="56">
        <f>-(P131*'Emissions Assumptions'!N12)</f>
        <v>93.661375559872297</v>
      </c>
      <c r="Q137" s="56">
        <f>-(Q131*'Emissions Assumptions'!O12)</f>
        <v>93.16239657846954</v>
      </c>
      <c r="R137" s="56">
        <f>-(R131*'Emissions Assumptions'!P12)</f>
        <v>92.653624617889776</v>
      </c>
      <c r="S137" s="56">
        <f>-(S131*'Emissions Assumptions'!Q12)</f>
        <v>92.134890028618628</v>
      </c>
      <c r="T137" s="56">
        <f>-(T131*'Emissions Assumptions'!R12)</f>
        <v>91.606020691963451</v>
      </c>
      <c r="U137" s="56">
        <f>-(U131*'Emissions Assumptions'!S12)</f>
        <v>91.066841987635044</v>
      </c>
      <c r="V137" s="56">
        <f>-(V131*'Emissions Assumptions'!T12)</f>
        <v>90.517176760927143</v>
      </c>
      <c r="W137" s="56">
        <f>-(W131*'Emissions Assumptions'!U12)</f>
        <v>89.956845289490388</v>
      </c>
      <c r="X137" s="56">
        <f>-(X131*'Emissions Assumptions'!V12)</f>
        <v>89.600758297484489</v>
      </c>
      <c r="Y137" s="56">
        <f>-(Y131*'Emissions Assumptions'!W12)</f>
        <v>89.01590613398794</v>
      </c>
      <c r="Z137" s="56">
        <f>-(Z131*'Emissions Assumptions'!X12)</f>
        <v>89.641600757306449</v>
      </c>
      <c r="AA137" s="56">
        <f>-(AA131*'Emissions Assumptions'!Y12)</f>
        <v>90.273340189795817</v>
      </c>
      <c r="AB137" s="56">
        <f>-(AB131*'Emissions Assumptions'!Z12)</f>
        <v>90.911184879547832</v>
      </c>
      <c r="AC137" s="389">
        <f>-(AC131*'Emissions Assumptions'!AA12)</f>
        <v>91.555195879135113</v>
      </c>
      <c r="AD137" s="358">
        <f t="shared" si="30"/>
        <v>1868.3058475393323</v>
      </c>
    </row>
    <row r="138" spans="1:30" ht="13.5">
      <c r="A138" s="45"/>
      <c r="B138" s="45"/>
      <c r="C138" s="48" t="s">
        <v>119</v>
      </c>
      <c r="D138" s="209"/>
      <c r="E138" s="220"/>
      <c r="F138" s="56">
        <f>-(F132*'Emissions Assumptions'!D6)</f>
        <v>0</v>
      </c>
      <c r="G138" s="56">
        <f>-(G132*'Emissions Assumptions'!E6)</f>
        <v>238.52407406718962</v>
      </c>
      <c r="H138" s="56">
        <f>-(H132*'Emissions Assumptions'!F6)</f>
        <v>450.61257266680786</v>
      </c>
      <c r="I138" s="56">
        <f>-(I132*'Emissions Assumptions'!G6)</f>
        <v>423.52193616607457</v>
      </c>
      <c r="J138" s="56">
        <f>-(J132*'Emissions Assumptions'!H6)</f>
        <v>395.7714253841844</v>
      </c>
      <c r="K138" s="56">
        <f>-(K132*'Emissions Assumptions'!I6)</f>
        <v>367.35500720377951</v>
      </c>
      <c r="L138" s="56">
        <f>-(L132*'Emissions Assumptions'!J6)</f>
        <v>338.26518495816214</v>
      </c>
      <c r="M138" s="56">
        <f>-(M132*'Emissions Assumptions'!K6)</f>
        <v>308.49271090939982</v>
      </c>
      <c r="N138" s="56">
        <f>-(N132*'Emissions Assumptions'!L6)</f>
        <v>276.19403754726909</v>
      </c>
      <c r="O138" s="56">
        <f>-(O132*'Emissions Assumptions'!M6)</f>
        <v>243.63532496042623</v>
      </c>
      <c r="P138" s="56">
        <f>-(P132*'Emissions Assumptions'!N6)</f>
        <v>240.41643940710011</v>
      </c>
      <c r="Q138" s="56">
        <f>-(Q132*'Emissions Assumptions'!O6)</f>
        <v>237.22140472203037</v>
      </c>
      <c r="R138" s="56">
        <f>-(R132*'Emissions Assumptions'!P6)</f>
        <v>234.05560966653093</v>
      </c>
      <c r="S138" s="56">
        <f>-(S132*'Emissions Assumptions'!Q6)</f>
        <v>230.92497470000703</v>
      </c>
      <c r="T138" s="56">
        <f>-(T132*'Emissions Assumptions'!R6)</f>
        <v>227.83599660598011</v>
      </c>
      <c r="U138" s="56">
        <f>-(U132*'Emissions Assumptions'!S6)</f>
        <v>224.79579537746798</v>
      </c>
      <c r="V138" s="56">
        <f>-(V132*'Emissions Assumptions'!T6)</f>
        <v>221.81216314473684</v>
      </c>
      <c r="W138" s="56">
        <f>-(W132*'Emissions Assumptions'!U6)</f>
        <v>218.89361482679479</v>
      </c>
      <c r="X138" s="56">
        <f>-(X132*'Emissions Assumptions'!V6)</f>
        <v>216.06802757246777</v>
      </c>
      <c r="Y138" s="56">
        <f>-(Y132*'Emissions Assumptions'!W6)</f>
        <v>213.32611813351829</v>
      </c>
      <c r="Z138" s="56">
        <f>-(Z132*'Emissions Assumptions'!X6)</f>
        <v>215.49527858918691</v>
      </c>
      <c r="AA138" s="56">
        <f>-(AA132*'Emissions Assumptions'!Y6)</f>
        <v>217.87753004210984</v>
      </c>
      <c r="AB138" s="56">
        <f>-(AB132*'Emissions Assumptions'!Z6)</f>
        <v>220.50202334071122</v>
      </c>
      <c r="AC138" s="389">
        <f>-(AC132*'Emissions Assumptions'!AA6)</f>
        <v>223.40189716948004</v>
      </c>
      <c r="AD138" s="358">
        <f t="shared" si="30"/>
        <v>6184.9991471614157</v>
      </c>
    </row>
    <row r="139" spans="1:30" ht="13.5">
      <c r="A139" s="45"/>
      <c r="B139" s="45"/>
      <c r="C139" s="48" t="s">
        <v>117</v>
      </c>
      <c r="D139" s="209"/>
      <c r="E139" s="220"/>
      <c r="F139" s="56">
        <f>-(F133*'Emissions Assumptions'!D15)</f>
        <v>0</v>
      </c>
      <c r="G139" s="56">
        <f>-(G133*'Emissions Assumptions'!E15)</f>
        <v>18657.399675211989</v>
      </c>
      <c r="H139" s="56">
        <f>-(H133*'Emissions Assumptions'!F15)</f>
        <v>35207.42242844541</v>
      </c>
      <c r="I139" s="56">
        <f>-(I133*'Emissions Assumptions'!G15)</f>
        <v>33047.92209783382</v>
      </c>
      <c r="J139" s="56">
        <f>-(J133*'Emissions Assumptions'!H15)</f>
        <v>30835.906526605911</v>
      </c>
      <c r="K139" s="56">
        <f>-(K133*'Emissions Assumptions'!I15)</f>
        <v>28570.885666564223</v>
      </c>
      <c r="L139" s="56">
        <f>-(L133*'Emissions Assumptions'!J15)</f>
        <v>26252.251714178805</v>
      </c>
      <c r="M139" s="56">
        <f>-(M133*'Emissions Assumptions'!K15)</f>
        <v>23879.256063607696</v>
      </c>
      <c r="N139" s="56">
        <f>-(N133*'Emissions Assumptions'!L15)</f>
        <v>21309.618878989226</v>
      </c>
      <c r="O139" s="56">
        <f>-(O133*'Emissions Assumptions'!M15)</f>
        <v>18719.170013386782</v>
      </c>
      <c r="P139" s="56">
        <f>-(P133*'Emissions Assumptions'!N15)</f>
        <v>18311.391100358651</v>
      </c>
      <c r="Q139" s="56">
        <f>-(Q133*'Emissions Assumptions'!O15)</f>
        <v>17903.705726745928</v>
      </c>
      <c r="R139" s="56">
        <f>-(R133*'Emissions Assumptions'!P15)</f>
        <v>17496.366289440808</v>
      </c>
      <c r="S139" s="56">
        <f>-(S133*'Emissions Assumptions'!Q15)</f>
        <v>17089.636554675642</v>
      </c>
      <c r="T139" s="56">
        <f>-(T133*'Emissions Assumptions'!R15)</f>
        <v>16683.7900452584</v>
      </c>
      <c r="U139" s="56">
        <f>-(U133*'Emissions Assumptions'!S15)</f>
        <v>16279.107773787155</v>
      </c>
      <c r="V139" s="56">
        <f>-(V133*'Emissions Assumptions'!T15)</f>
        <v>15875.875173085204</v>
      </c>
      <c r="W139" s="56">
        <f>-(W133*'Emissions Assumptions'!U15)</f>
        <v>15474.378046637526</v>
      </c>
      <c r="X139" s="56">
        <f>-(X133*'Emissions Assumptions'!V15)</f>
        <v>15076.194275946051</v>
      </c>
      <c r="Y139" s="56">
        <f>-(Y133*'Emissions Assumptions'!W15)</f>
        <v>14680.204702546975</v>
      </c>
      <c r="Z139" s="56">
        <f>-(Z133*'Emissions Assumptions'!X15)</f>
        <v>14829.477186387674</v>
      </c>
      <c r="AA139" s="56">
        <f>-(AA133*'Emissions Assumptions'!Y15)</f>
        <v>14993.413694902583</v>
      </c>
      <c r="AB139" s="56">
        <f>-(AB133*'Emissions Assumptions'!Z15)</f>
        <v>15174.020266667121</v>
      </c>
      <c r="AC139" s="389">
        <f>-(AC133*'Emissions Assumptions'!AA15)</f>
        <v>15373.577366333839</v>
      </c>
      <c r="AD139" s="358">
        <f t="shared" si="30"/>
        <v>461720.97126759752</v>
      </c>
    </row>
    <row r="140" spans="1:30" s="53" customFormat="1" ht="13.5">
      <c r="A140" s="45"/>
      <c r="B140" s="45"/>
      <c r="C140" s="48" t="s">
        <v>118</v>
      </c>
      <c r="D140" s="209"/>
      <c r="E140" s="220"/>
      <c r="F140" s="56">
        <f>-(F134*'Emissions Assumptions'!D22)</f>
        <v>0</v>
      </c>
      <c r="G140" s="56">
        <f>-(G134*'Emissions Assumptions'!E22)</f>
        <v>1069.6327746689985</v>
      </c>
      <c r="H140" s="56">
        <f>-(H134*'Emissions Assumptions'!F22)</f>
        <v>2150.4440028305326</v>
      </c>
      <c r="I140" s="56">
        <f>-(I134*'Emissions Assumptions'!G22)</f>
        <v>2169.0701988553819</v>
      </c>
      <c r="J140" s="56">
        <f>-(J134*'Emissions Assumptions'!H22)</f>
        <v>2185.5497352074913</v>
      </c>
      <c r="K140" s="56">
        <f>-(K134*'Emissions Assumptions'!I22)</f>
        <v>2199.8408785139122</v>
      </c>
      <c r="L140" s="56">
        <f>-(L134*'Emissions Assumptions'!J22)</f>
        <v>2211.9044081566312</v>
      </c>
      <c r="M140" s="56">
        <f>-(M134*'Emissions Assumptions'!K22)</f>
        <v>2221.7037395267535</v>
      </c>
      <c r="N140" s="56">
        <f>-(N134*'Emissions Assumptions'!L22)</f>
        <v>2214.5144300525094</v>
      </c>
      <c r="O140" s="56">
        <f>-(O134*'Emissions Assumptions'!M22)</f>
        <v>2205.2618331865033</v>
      </c>
      <c r="P140" s="56">
        <f>-(P134*'Emissions Assumptions'!N22)</f>
        <v>2246.604752552139</v>
      </c>
      <c r="Q140" s="56">
        <f>-(Q134*'Emissions Assumptions'!O22)</f>
        <v>2279.1571205834753</v>
      </c>
      <c r="R140" s="56">
        <f>-(R134*'Emissions Assumptions'!P22)</f>
        <v>2319.5897556615801</v>
      </c>
      <c r="S140" s="56">
        <f>-(S134*'Emissions Assumptions'!Q22)</f>
        <v>2351.5528975378338</v>
      </c>
      <c r="T140" s="56">
        <f>-(T134*'Emissions Assumptions'!R22)</f>
        <v>2391.5017113570534</v>
      </c>
      <c r="U140" s="56">
        <f>-(U134*'Emissions Assumptions'!S22)</f>
        <v>2423.3572341399367</v>
      </c>
      <c r="V140" s="56">
        <f>-(V134*'Emissions Assumptions'!T22)</f>
        <v>2463.3827026719855</v>
      </c>
      <c r="W140" s="56">
        <f>-(W134*'Emissions Assumptions'!U22)</f>
        <v>2495.7605401810824</v>
      </c>
      <c r="X140" s="56">
        <f>-(X134*'Emissions Assumptions'!V22)</f>
        <v>2528.9329205233448</v>
      </c>
      <c r="Y140" s="56">
        <f>-(Y134*'Emissions Assumptions'!W22)</f>
        <v>2570.7490617451467</v>
      </c>
      <c r="Z140" s="56">
        <f>-(Z134*'Emissions Assumptions'!X22)</f>
        <v>2644.3932372453091</v>
      </c>
      <c r="AA140" s="56">
        <f>-(AA134*'Emissions Assumptions'!Y22)</f>
        <v>2729.6604913426904</v>
      </c>
      <c r="AB140" s="56">
        <f>-(AB134*'Emissions Assumptions'!Z22)</f>
        <v>2811.1490007813454</v>
      </c>
      <c r="AC140" s="389">
        <f>-(AC134*'Emissions Assumptions'!AA22)</f>
        <v>2905.5739324304259</v>
      </c>
      <c r="AD140" s="358">
        <f t="shared" si="30"/>
        <v>53789.287359752074</v>
      </c>
    </row>
    <row r="141" spans="1:30" s="53" customFormat="1" ht="12">
      <c r="A141" s="45"/>
      <c r="B141" s="45"/>
      <c r="C141" s="224" t="s">
        <v>645</v>
      </c>
      <c r="D141" s="209"/>
      <c r="E141" s="220"/>
      <c r="F141" s="56">
        <f>-(F135*'Emissions Assumptions'!D26)</f>
        <v>0</v>
      </c>
      <c r="G141" s="56">
        <f>-(G135*'Emissions Assumptions'!E26)</f>
        <v>28.859997524891991</v>
      </c>
      <c r="H141" s="56">
        <f>-(H135*'Emissions Assumptions'!F26)</f>
        <v>58.3654271989625</v>
      </c>
      <c r="I141" s="56">
        <f>-(I135*'Emissions Assumptions'!G26)</f>
        <v>59.017491493788675</v>
      </c>
      <c r="J141" s="56">
        <f>-(J135*'Emissions Assumptions'!H26)</f>
        <v>59.67709521178719</v>
      </c>
      <c r="K141" s="56">
        <f>-(K135*'Emissions Assumptions'!I26)</f>
        <v>61.046958929141518</v>
      </c>
      <c r="L141" s="56">
        <f>-(L135*'Emissions Assumptions'!J26)</f>
        <v>61.73275953288956</v>
      </c>
      <c r="M141" s="56">
        <f>-(M135*'Emissions Assumptions'!K26)</f>
        <v>62.429765117424324</v>
      </c>
      <c r="N141" s="56">
        <f>-(N135*'Emissions Assumptions'!L26)</f>
        <v>62.723415317771298</v>
      </c>
      <c r="O141" s="56">
        <f>-(O135*'Emissions Assumptions'!M26)</f>
        <v>63.03154587434792</v>
      </c>
      <c r="P141" s="56">
        <f>-(P135*'Emissions Assumptions'!N26)</f>
        <v>63.356137699886411</v>
      </c>
      <c r="Q141" s="56">
        <f>-(Q135*'Emissions Assumptions'!O26)</f>
        <v>63.699442695980743</v>
      </c>
      <c r="R141" s="56">
        <f>-(R135*'Emissions Assumptions'!P26)</f>
        <v>64.06402082436297</v>
      </c>
      <c r="S141" s="56">
        <f>-(S135*'Emissions Assumptions'!Q26)</f>
        <v>64.452782249530046</v>
      </c>
      <c r="T141" s="56">
        <f>-(T135*'Emissions Assumptions'!R26)</f>
        <v>64.86903524648217</v>
      </c>
      <c r="U141" s="56">
        <f>-(U135*'Emissions Assumptions'!S26)</f>
        <v>65.316540662239547</v>
      </c>
      <c r="V141" s="56">
        <f>-(V135*'Emissions Assumptions'!T26)</f>
        <v>65.799573827694658</v>
      </c>
      <c r="W141" s="56">
        <f>-(W135*'Emissions Assumptions'!U26)</f>
        <v>66.322994939006264</v>
      </c>
      <c r="X141" s="56">
        <f>-(X135*'Emissions Assumptions'!V26)</f>
        <v>66.898084054667535</v>
      </c>
      <c r="Y141" s="56">
        <f>-(Y135*'Emissions Assumptions'!W26)</f>
        <v>68.301520732571802</v>
      </c>
      <c r="Z141" s="56">
        <f>-(Z135*'Emissions Assumptions'!X26)</f>
        <v>68.996029961593592</v>
      </c>
      <c r="AA141" s="56">
        <f>-(AA135*'Emissions Assumptions'!Y26)</f>
        <v>69.758765431706891</v>
      </c>
      <c r="AB141" s="56">
        <f>-(AB135*'Emissions Assumptions'!Z26)</f>
        <v>70.599060492692928</v>
      </c>
      <c r="AC141" s="389">
        <f>-(AC135*'Emissions Assumptions'!AA26)</f>
        <v>71.527525296583121</v>
      </c>
      <c r="AD141" s="358">
        <f t="shared" si="30"/>
        <v>1450.8459703160038</v>
      </c>
    </row>
    <row r="142" spans="1:30" s="5" customFormat="1" ht="12">
      <c r="A142" s="58"/>
      <c r="B142" s="58"/>
      <c r="C142" s="62" t="s">
        <v>591</v>
      </c>
      <c r="D142" s="212"/>
      <c r="E142" s="220"/>
      <c r="F142" s="83">
        <f>SUM(F137:F141)</f>
        <v>0</v>
      </c>
      <c r="G142" s="83">
        <f t="shared" ref="G142:AC142" si="36">SUM(G137:G141)</f>
        <v>19994.416521473071</v>
      </c>
      <c r="H142" s="83">
        <f t="shared" si="36"/>
        <v>37866.844431141719</v>
      </c>
      <c r="I142" s="83">
        <f t="shared" si="36"/>
        <v>35699.531724349064</v>
      </c>
      <c r="J142" s="83">
        <f t="shared" si="36"/>
        <v>33569.18295141725</v>
      </c>
      <c r="K142" s="83">
        <f t="shared" si="36"/>
        <v>31318.182478633753</v>
      </c>
      <c r="L142" s="83">
        <f t="shared" si="36"/>
        <v>28977.831515588459</v>
      </c>
      <c r="M142" s="83">
        <f t="shared" si="36"/>
        <v>26544.120127296566</v>
      </c>
      <c r="N142" s="83">
        <f t="shared" si="36"/>
        <v>23964.201289691689</v>
      </c>
      <c r="O142" s="83">
        <f t="shared" si="36"/>
        <v>21325.249446182515</v>
      </c>
      <c r="P142" s="83">
        <f t="shared" si="36"/>
        <v>20955.429805577649</v>
      </c>
      <c r="Q142" s="83">
        <f t="shared" si="36"/>
        <v>20576.946091325881</v>
      </c>
      <c r="R142" s="83">
        <f t="shared" si="36"/>
        <v>20206.729300211169</v>
      </c>
      <c r="S142" s="83">
        <f t="shared" si="36"/>
        <v>19828.702099191629</v>
      </c>
      <c r="T142" s="83">
        <f t="shared" si="36"/>
        <v>19459.602809159882</v>
      </c>
      <c r="U142" s="83">
        <f t="shared" si="36"/>
        <v>19083.644185954436</v>
      </c>
      <c r="V142" s="83">
        <f t="shared" si="36"/>
        <v>18717.386789490549</v>
      </c>
      <c r="W142" s="83">
        <f t="shared" si="36"/>
        <v>18345.312041873902</v>
      </c>
      <c r="X142" s="83">
        <f t="shared" si="36"/>
        <v>17977.694066394015</v>
      </c>
      <c r="Y142" s="83">
        <f t="shared" si="36"/>
        <v>17621.597309292199</v>
      </c>
      <c r="Z142" s="83">
        <f t="shared" si="36"/>
        <v>17848.003332941069</v>
      </c>
      <c r="AA142" s="83">
        <f t="shared" si="36"/>
        <v>18100.983821908885</v>
      </c>
      <c r="AB142" s="83">
        <f t="shared" si="36"/>
        <v>18367.181536161417</v>
      </c>
      <c r="AC142" s="272">
        <f t="shared" si="36"/>
        <v>18665.635917109463</v>
      </c>
      <c r="AD142" s="355">
        <f t="shared" si="30"/>
        <v>525014.4095923662</v>
      </c>
    </row>
    <row r="143" spans="1:30" s="53" customFormat="1" ht="12">
      <c r="A143" s="45"/>
      <c r="B143" s="45"/>
      <c r="D143" s="209"/>
      <c r="E143" s="217"/>
      <c r="F143" s="45"/>
      <c r="G143" s="57"/>
      <c r="AC143" s="263"/>
      <c r="AD143" s="338"/>
    </row>
    <row r="144" spans="1:30" s="53" customFormat="1" ht="12">
      <c r="A144" s="45"/>
      <c r="B144" s="45"/>
      <c r="C144" s="64" t="s">
        <v>91</v>
      </c>
      <c r="D144" s="209"/>
      <c r="E144" s="217"/>
      <c r="F144" s="45"/>
      <c r="G144" s="57"/>
      <c r="AC144" s="263"/>
      <c r="AD144" s="338"/>
    </row>
    <row r="145" spans="1:30" s="53" customFormat="1" ht="24">
      <c r="A145" s="45"/>
      <c r="B145" s="45"/>
      <c r="C145" s="203" t="s">
        <v>132</v>
      </c>
      <c r="D145" s="259">
        <f>'Price Assumptions'!$B$22</f>
        <v>0.2</v>
      </c>
      <c r="E145" s="217"/>
      <c r="G145" s="96"/>
      <c r="H145" s="96"/>
      <c r="I145" s="96"/>
      <c r="J145" s="96"/>
      <c r="K145" s="96"/>
      <c r="L145" s="96"/>
      <c r="M145" s="96"/>
      <c r="N145" s="96"/>
      <c r="O145" s="96"/>
      <c r="P145" s="96"/>
      <c r="Q145" s="96"/>
      <c r="R145" s="96"/>
      <c r="S145" s="96"/>
      <c r="T145" s="96"/>
      <c r="U145" s="96"/>
      <c r="V145" s="96"/>
      <c r="W145" s="96"/>
      <c r="X145" s="96"/>
      <c r="Y145" s="96"/>
      <c r="AC145" s="263"/>
      <c r="AD145" s="338"/>
    </row>
    <row r="146" spans="1:30" s="53" customFormat="1" ht="24">
      <c r="A146" s="45"/>
      <c r="B146" s="45"/>
      <c r="C146" s="283" t="s">
        <v>503</v>
      </c>
      <c r="D146" s="284">
        <f>'Price Assumptions'!$B$21</f>
        <v>5.4413625171743009E-2</v>
      </c>
      <c r="E146" s="217"/>
      <c r="G146" s="95"/>
      <c r="H146" s="95"/>
      <c r="I146" s="95"/>
      <c r="J146" s="95"/>
      <c r="K146" s="95"/>
      <c r="L146" s="95"/>
      <c r="M146" s="95"/>
      <c r="N146" s="95"/>
      <c r="O146" s="95"/>
      <c r="P146" s="95"/>
      <c r="Q146" s="95"/>
      <c r="R146" s="95"/>
      <c r="S146" s="95"/>
      <c r="T146" s="95"/>
      <c r="U146" s="95"/>
      <c r="V146" s="95"/>
      <c r="W146" s="95"/>
      <c r="X146" s="95"/>
      <c r="Y146" s="95"/>
      <c r="AC146" s="263"/>
      <c r="AD146" s="338"/>
    </row>
    <row r="147" spans="1:30" s="5" customFormat="1" ht="12">
      <c r="A147" s="58"/>
      <c r="B147" s="58"/>
      <c r="C147" s="87" t="s">
        <v>504</v>
      </c>
      <c r="D147" s="212"/>
      <c r="E147" s="220"/>
      <c r="F147" s="83">
        <f>$D$146*$D$145*(F16+F17)</f>
        <v>0</v>
      </c>
      <c r="G147" s="83">
        <f t="shared" ref="G147:AC147" si="37">$D$146*$D$145*(G16+G17)</f>
        <v>1.7666476037599819</v>
      </c>
      <c r="H147" s="83">
        <f t="shared" si="37"/>
        <v>4.016649991908694</v>
      </c>
      <c r="I147" s="83">
        <f t="shared" si="37"/>
        <v>4.5661277108018048</v>
      </c>
      <c r="J147" s="83">
        <f t="shared" si="37"/>
        <v>5.1907739816394916</v>
      </c>
      <c r="K147" s="83">
        <f t="shared" si="37"/>
        <v>5.9008718623277732</v>
      </c>
      <c r="L147" s="83">
        <f t="shared" si="37"/>
        <v>6.7081111330942127</v>
      </c>
      <c r="M147" s="83">
        <f t="shared" si="37"/>
        <v>7.6257807361015031</v>
      </c>
      <c r="N147" s="83">
        <f t="shared" si="37"/>
        <v>8.6689875408001882</v>
      </c>
      <c r="O147" s="83">
        <f t="shared" si="37"/>
        <v>9.8549050363816537</v>
      </c>
      <c r="P147" s="83">
        <f t="shared" si="37"/>
        <v>11.203056045358666</v>
      </c>
      <c r="Q147" s="83">
        <f t="shared" si="37"/>
        <v>12.735634112363732</v>
      </c>
      <c r="R147" s="83">
        <f t="shared" si="37"/>
        <v>14.477868858935089</v>
      </c>
      <c r="S147" s="83">
        <f t="shared" si="37"/>
        <v>16.458441318837409</v>
      </c>
      <c r="T147" s="83">
        <f t="shared" si="37"/>
        <v>18.709956091254369</v>
      </c>
      <c r="U147" s="83">
        <f t="shared" si="37"/>
        <v>21.269478084537969</v>
      </c>
      <c r="V147" s="83">
        <f t="shared" si="37"/>
        <v>24.179142686502765</v>
      </c>
      <c r="W147" s="83">
        <f t="shared" si="37"/>
        <v>27.486849406016344</v>
      </c>
      <c r="X147" s="83">
        <f t="shared" si="37"/>
        <v>31.247050404759388</v>
      </c>
      <c r="Y147" s="83">
        <f t="shared" si="37"/>
        <v>35.52164690013047</v>
      </c>
      <c r="Z147" s="83">
        <f t="shared" si="37"/>
        <v>40.381008196068315</v>
      </c>
      <c r="AA147" s="83">
        <f t="shared" si="37"/>
        <v>45.905130117290469</v>
      </c>
      <c r="AB147" s="83">
        <f t="shared" si="37"/>
        <v>52.184951917335795</v>
      </c>
      <c r="AC147" s="272">
        <f t="shared" si="37"/>
        <v>59.323853339627334</v>
      </c>
      <c r="AD147" s="355">
        <f t="shared" si="30"/>
        <v>465.38292307583345</v>
      </c>
    </row>
    <row r="148" spans="1:30" s="110" customFormat="1" ht="12">
      <c r="A148" s="107"/>
      <c r="B148" s="107"/>
      <c r="C148" s="108"/>
      <c r="D148" s="208"/>
      <c r="E148" s="216"/>
      <c r="F148" s="109"/>
      <c r="G148" s="109"/>
      <c r="H148" s="109"/>
      <c r="I148" s="109"/>
      <c r="J148" s="109"/>
      <c r="K148" s="109"/>
      <c r="L148" s="109"/>
      <c r="M148" s="109"/>
      <c r="N148" s="109"/>
      <c r="O148" s="109"/>
      <c r="P148" s="109"/>
      <c r="Q148" s="109"/>
      <c r="R148" s="109"/>
      <c r="S148" s="109"/>
      <c r="T148" s="109"/>
      <c r="U148" s="109"/>
      <c r="V148" s="109"/>
      <c r="W148" s="109"/>
      <c r="X148" s="109"/>
      <c r="Y148" s="109"/>
      <c r="Z148" s="109"/>
      <c r="AC148" s="262"/>
      <c r="AD148" s="337"/>
    </row>
    <row r="149" spans="1:30" s="110" customFormat="1" ht="12">
      <c r="A149" s="58" t="s">
        <v>345</v>
      </c>
      <c r="B149" s="58"/>
      <c r="C149" s="108"/>
      <c r="D149" s="208"/>
      <c r="E149" s="216"/>
      <c r="F149" s="109"/>
      <c r="G149" s="109"/>
      <c r="H149" s="109"/>
      <c r="I149" s="109"/>
      <c r="J149" s="109"/>
      <c r="K149" s="109"/>
      <c r="L149" s="109"/>
      <c r="M149" s="109"/>
      <c r="N149" s="109"/>
      <c r="O149" s="109"/>
      <c r="P149" s="109"/>
      <c r="Q149" s="109"/>
      <c r="R149" s="109"/>
      <c r="S149" s="109"/>
      <c r="T149" s="109"/>
      <c r="U149" s="109"/>
      <c r="V149" s="109"/>
      <c r="W149" s="109"/>
      <c r="X149" s="109"/>
      <c r="Y149" s="109"/>
      <c r="Z149" s="109"/>
      <c r="AC149" s="262"/>
      <c r="AD149" s="337"/>
    </row>
    <row r="150" spans="1:30" s="110" customFormat="1" ht="12">
      <c r="A150" s="58"/>
      <c r="B150" s="58"/>
      <c r="C150" s="46" t="s">
        <v>39</v>
      </c>
      <c r="D150" s="210"/>
      <c r="E150" s="217"/>
      <c r="F150" s="45"/>
      <c r="G150" s="109"/>
      <c r="H150" s="109"/>
      <c r="I150" s="109"/>
      <c r="J150" s="109"/>
      <c r="K150" s="109"/>
      <c r="L150" s="109"/>
      <c r="M150" s="109"/>
      <c r="N150" s="109"/>
      <c r="O150" s="109"/>
      <c r="P150" s="109"/>
      <c r="Q150" s="109"/>
      <c r="R150" s="109"/>
      <c r="S150" s="109"/>
      <c r="T150" s="109"/>
      <c r="U150" s="109"/>
      <c r="V150" s="109"/>
      <c r="W150" s="109"/>
      <c r="X150" s="109"/>
      <c r="Y150" s="109"/>
      <c r="Z150" s="109"/>
      <c r="AC150" s="262"/>
      <c r="AD150" s="337"/>
    </row>
    <row r="151" spans="1:30" s="110" customFormat="1" ht="12">
      <c r="A151" s="58"/>
      <c r="B151" s="58" t="s">
        <v>225</v>
      </c>
      <c r="D151" s="210"/>
      <c r="E151" s="217"/>
      <c r="F151" s="45"/>
      <c r="G151" s="109"/>
      <c r="H151" s="109"/>
      <c r="I151" s="109"/>
      <c r="J151" s="109"/>
      <c r="K151" s="109"/>
      <c r="L151" s="109"/>
      <c r="M151" s="109"/>
      <c r="N151" s="109"/>
      <c r="O151" s="109"/>
      <c r="P151" s="109"/>
      <c r="Q151" s="109"/>
      <c r="R151" s="109"/>
      <c r="S151" s="109"/>
      <c r="T151" s="109"/>
      <c r="U151" s="109"/>
      <c r="V151" s="109"/>
      <c r="W151" s="109"/>
      <c r="X151" s="109"/>
      <c r="Y151" s="109"/>
      <c r="Z151" s="109"/>
      <c r="AC151" s="262"/>
      <c r="AD151" s="337"/>
    </row>
    <row r="152" spans="1:30" s="110" customFormat="1" ht="12">
      <c r="A152" s="58"/>
      <c r="B152" s="444" t="s">
        <v>587</v>
      </c>
      <c r="C152" s="78" t="s">
        <v>561</v>
      </c>
      <c r="D152" s="210"/>
      <c r="E152" s="217"/>
      <c r="F152" s="45"/>
      <c r="G152" s="109"/>
      <c r="H152" s="109"/>
      <c r="I152" s="55"/>
      <c r="J152" s="55"/>
      <c r="K152" s="55"/>
      <c r="L152" s="55"/>
      <c r="M152" s="55"/>
      <c r="N152" s="55"/>
      <c r="O152" s="55"/>
      <c r="P152" s="55"/>
      <c r="Q152" s="55"/>
      <c r="R152" s="55"/>
      <c r="S152" s="55"/>
      <c r="T152" s="55"/>
      <c r="U152" s="55"/>
      <c r="V152" s="55"/>
      <c r="W152" s="55"/>
      <c r="X152" s="55"/>
      <c r="Y152" s="55"/>
      <c r="Z152" s="55"/>
      <c r="AA152" s="55"/>
      <c r="AB152" s="55"/>
      <c r="AC152" s="270"/>
      <c r="AD152" s="353"/>
    </row>
    <row r="153" spans="1:30" s="110" customFormat="1" ht="12">
      <c r="A153" s="58"/>
      <c r="C153" s="78" t="s">
        <v>542</v>
      </c>
      <c r="D153" s="210">
        <f>'Mode Operating Assumptions'!D189</f>
        <v>8.2555465307736857E-8</v>
      </c>
      <c r="E153" s="217"/>
      <c r="F153" s="55">
        <f>$D153*(F$11+F$12)</f>
        <v>0</v>
      </c>
      <c r="G153" s="55">
        <f t="shared" ref="G153:AC153" si="38">$D153*(G$11+G$12)</f>
        <v>2.1693409662715763E-3</v>
      </c>
      <c r="H153" s="55">
        <f t="shared" si="38"/>
        <v>4.3838306401578712E-3</v>
      </c>
      <c r="I153" s="55">
        <f t="shared" si="38"/>
        <v>4.4289793477725872E-3</v>
      </c>
      <c r="J153" s="55">
        <f t="shared" si="38"/>
        <v>4.4741280553873067E-3</v>
      </c>
      <c r="K153" s="55">
        <f t="shared" si="38"/>
        <v>4.5192767630020244E-3</v>
      </c>
      <c r="L153" s="55">
        <f t="shared" si="38"/>
        <v>4.5644254706167431E-3</v>
      </c>
      <c r="M153" s="55">
        <f t="shared" si="38"/>
        <v>4.6095741782314599E-3</v>
      </c>
      <c r="N153" s="55">
        <f t="shared" si="38"/>
        <v>4.6236146014367388E-3</v>
      </c>
      <c r="O153" s="55">
        <f t="shared" si="38"/>
        <v>4.6376550246420168E-3</v>
      </c>
      <c r="P153" s="55">
        <f t="shared" si="38"/>
        <v>4.6516954478472957E-3</v>
      </c>
      <c r="Q153" s="55">
        <f t="shared" si="38"/>
        <v>4.6657358710525745E-3</v>
      </c>
      <c r="R153" s="55">
        <f t="shared" si="38"/>
        <v>4.6797762942578525E-3</v>
      </c>
      <c r="S153" s="55">
        <f t="shared" si="38"/>
        <v>4.6938167174631314E-3</v>
      </c>
      <c r="T153" s="55">
        <f t="shared" si="38"/>
        <v>4.7078571406684094E-3</v>
      </c>
      <c r="U153" s="55">
        <f t="shared" si="38"/>
        <v>4.7218975638736874E-3</v>
      </c>
      <c r="V153" s="55">
        <f t="shared" si="38"/>
        <v>4.7359379870789654E-3</v>
      </c>
      <c r="W153" s="55">
        <f t="shared" si="38"/>
        <v>4.7499784102842443E-3</v>
      </c>
      <c r="X153" s="55">
        <f t="shared" si="38"/>
        <v>4.7644490923478625E-3</v>
      </c>
      <c r="Y153" s="55">
        <f t="shared" si="38"/>
        <v>4.7789197744114815E-3</v>
      </c>
      <c r="Z153" s="55">
        <f t="shared" si="38"/>
        <v>4.7933904564751006E-3</v>
      </c>
      <c r="AA153" s="55">
        <f t="shared" si="38"/>
        <v>4.8078611385387188E-3</v>
      </c>
      <c r="AB153" s="55">
        <f t="shared" si="38"/>
        <v>4.8223318206023378E-3</v>
      </c>
      <c r="AC153" s="270">
        <f t="shared" si="38"/>
        <v>4.836802502665956E-3</v>
      </c>
      <c r="AD153" s="353">
        <f t="shared" si="30"/>
        <v>0.10482127526508593</v>
      </c>
    </row>
    <row r="154" spans="1:30" s="110" customFormat="1" ht="12">
      <c r="A154" s="58"/>
      <c r="C154" s="49" t="s">
        <v>40</v>
      </c>
      <c r="D154" s="308">
        <f>-'Mode Operating Assumptions'!C179</f>
        <v>-6200000</v>
      </c>
      <c r="E154" s="217"/>
      <c r="F154" s="255">
        <f>F153*$D154</f>
        <v>0</v>
      </c>
      <c r="G154" s="255">
        <f t="shared" ref="G154:AC154" si="39">G153*$D154</f>
        <v>-13449.913990883773</v>
      </c>
      <c r="H154" s="255">
        <f t="shared" si="39"/>
        <v>-27179.749968978802</v>
      </c>
      <c r="I154" s="255">
        <f t="shared" si="39"/>
        <v>-27459.671956190039</v>
      </c>
      <c r="J154" s="255">
        <f t="shared" si="39"/>
        <v>-27739.593943401302</v>
      </c>
      <c r="K154" s="255">
        <f t="shared" si="39"/>
        <v>-28019.51593061255</v>
      </c>
      <c r="L154" s="255">
        <f t="shared" si="39"/>
        <v>-28299.437917823809</v>
      </c>
      <c r="M154" s="255">
        <f t="shared" si="39"/>
        <v>-28579.359905035053</v>
      </c>
      <c r="N154" s="255">
        <f t="shared" si="39"/>
        <v>-28666.410528907782</v>
      </c>
      <c r="O154" s="255">
        <f t="shared" si="39"/>
        <v>-28753.461152780503</v>
      </c>
      <c r="P154" s="255">
        <f t="shared" si="39"/>
        <v>-28840.511776653235</v>
      </c>
      <c r="Q154" s="255">
        <f t="shared" si="39"/>
        <v>-28927.562400525963</v>
      </c>
      <c r="R154" s="255">
        <f t="shared" si="39"/>
        <v>-29014.613024398685</v>
      </c>
      <c r="S154" s="255">
        <f t="shared" si="39"/>
        <v>-29101.663648271413</v>
      </c>
      <c r="T154" s="255">
        <f t="shared" si="39"/>
        <v>-29188.714272144138</v>
      </c>
      <c r="U154" s="255">
        <f t="shared" si="39"/>
        <v>-29275.764896016863</v>
      </c>
      <c r="V154" s="255">
        <f t="shared" si="39"/>
        <v>-29362.815519889584</v>
      </c>
      <c r="W154" s="255">
        <f t="shared" si="39"/>
        <v>-29449.866143762316</v>
      </c>
      <c r="X154" s="255">
        <f t="shared" si="39"/>
        <v>-29539.584372556747</v>
      </c>
      <c r="Y154" s="255">
        <f t="shared" si="39"/>
        <v>-29629.302601351184</v>
      </c>
      <c r="Z154" s="255">
        <f t="shared" si="39"/>
        <v>-29719.020830145622</v>
      </c>
      <c r="AA154" s="255">
        <f t="shared" si="39"/>
        <v>-29808.739058940057</v>
      </c>
      <c r="AB154" s="255">
        <f t="shared" si="39"/>
        <v>-29898.457287734494</v>
      </c>
      <c r="AC154" s="268">
        <f t="shared" si="39"/>
        <v>-29988.175516528929</v>
      </c>
      <c r="AD154" s="360">
        <f t="shared" si="30"/>
        <v>-649891.9066435328</v>
      </c>
    </row>
    <row r="155" spans="1:30" s="110" customFormat="1" ht="12">
      <c r="A155" s="58"/>
      <c r="C155" s="78" t="s">
        <v>543</v>
      </c>
      <c r="D155" s="210">
        <f>'Mode Operating Assumptions'!D190</f>
        <v>2.5164317528336415E-6</v>
      </c>
      <c r="E155" s="217"/>
      <c r="F155" s="55">
        <f>$D155*(F$11+F$12)</f>
        <v>0</v>
      </c>
      <c r="G155" s="55">
        <f t="shared" ref="G155:AC155" si="40">$D155*(G$11+G$12)</f>
        <v>6.6125222235734971E-2</v>
      </c>
      <c r="H155" s="55">
        <f t="shared" si="40"/>
        <v>0.1336266542840798</v>
      </c>
      <c r="I155" s="55">
        <f t="shared" si="40"/>
        <v>0.13500286409668957</v>
      </c>
      <c r="J155" s="55">
        <f t="shared" si="40"/>
        <v>0.13637907390929946</v>
      </c>
      <c r="K155" s="55">
        <f t="shared" si="40"/>
        <v>0.13775528372190929</v>
      </c>
      <c r="L155" s="55">
        <f t="shared" si="40"/>
        <v>0.13913149353451915</v>
      </c>
      <c r="M155" s="55">
        <f t="shared" si="40"/>
        <v>0.14050770334712895</v>
      </c>
      <c r="N155" s="55">
        <f t="shared" si="40"/>
        <v>0.14093567945561894</v>
      </c>
      <c r="O155" s="55">
        <f t="shared" si="40"/>
        <v>0.14136365556410893</v>
      </c>
      <c r="P155" s="55">
        <f t="shared" si="40"/>
        <v>0.14179163167259889</v>
      </c>
      <c r="Q155" s="55">
        <f t="shared" si="40"/>
        <v>0.14221960778108889</v>
      </c>
      <c r="R155" s="55">
        <f t="shared" si="40"/>
        <v>0.14264758388957888</v>
      </c>
      <c r="S155" s="55">
        <f t="shared" si="40"/>
        <v>0.14307555999806887</v>
      </c>
      <c r="T155" s="55">
        <f t="shared" si="40"/>
        <v>0.14350353610655883</v>
      </c>
      <c r="U155" s="55">
        <f t="shared" si="40"/>
        <v>0.1439315122150488</v>
      </c>
      <c r="V155" s="55">
        <f t="shared" si="40"/>
        <v>0.14435948832353879</v>
      </c>
      <c r="W155" s="55">
        <f t="shared" si="40"/>
        <v>0.14478746443202878</v>
      </c>
      <c r="X155" s="55">
        <f t="shared" si="40"/>
        <v>0.14522855556626574</v>
      </c>
      <c r="Y155" s="55">
        <f t="shared" si="40"/>
        <v>0.1456696467005027</v>
      </c>
      <c r="Z155" s="55">
        <f t="shared" si="40"/>
        <v>0.14611073783473966</v>
      </c>
      <c r="AA155" s="55">
        <f t="shared" si="40"/>
        <v>0.14655182896897664</v>
      </c>
      <c r="AB155" s="55">
        <f t="shared" si="40"/>
        <v>0.1469929201032136</v>
      </c>
      <c r="AC155" s="270">
        <f t="shared" si="40"/>
        <v>0.14743401123745056</v>
      </c>
      <c r="AD155" s="353">
        <f t="shared" si="30"/>
        <v>3.1951317149787486</v>
      </c>
    </row>
    <row r="156" spans="1:30" s="110" customFormat="1" ht="12">
      <c r="A156" s="58"/>
      <c r="C156" s="49" t="s">
        <v>41</v>
      </c>
      <c r="D156" s="308">
        <f>-'Mode Operating Assumptions'!C175</f>
        <v>-291400</v>
      </c>
      <c r="E156" s="217"/>
      <c r="F156" s="255">
        <f>F155*$D156</f>
        <v>0</v>
      </c>
      <c r="G156" s="255">
        <f t="shared" ref="G156:AC156" si="41">G155*$D156</f>
        <v>-19268.88975949317</v>
      </c>
      <c r="H156" s="255">
        <f t="shared" si="41"/>
        <v>-38938.807058380851</v>
      </c>
      <c r="I156" s="255">
        <f t="shared" si="41"/>
        <v>-39339.834597775342</v>
      </c>
      <c r="J156" s="255">
        <f t="shared" si="41"/>
        <v>-39740.862137169861</v>
      </c>
      <c r="K156" s="255">
        <f t="shared" si="41"/>
        <v>-40141.889676564366</v>
      </c>
      <c r="L156" s="255">
        <f t="shared" si="41"/>
        <v>-40542.917215958878</v>
      </c>
      <c r="M156" s="255">
        <f t="shared" si="41"/>
        <v>-40943.944755353376</v>
      </c>
      <c r="N156" s="255">
        <f t="shared" si="41"/>
        <v>-41068.65699336736</v>
      </c>
      <c r="O156" s="255">
        <f t="shared" si="41"/>
        <v>-41193.369231381344</v>
      </c>
      <c r="P156" s="255">
        <f t="shared" si="41"/>
        <v>-41318.081469395314</v>
      </c>
      <c r="Q156" s="255">
        <f t="shared" si="41"/>
        <v>-41442.793707409299</v>
      </c>
      <c r="R156" s="255">
        <f t="shared" si="41"/>
        <v>-41567.505945423283</v>
      </c>
      <c r="S156" s="255">
        <f t="shared" si="41"/>
        <v>-41692.218183437268</v>
      </c>
      <c r="T156" s="255">
        <f t="shared" si="41"/>
        <v>-41816.930421451245</v>
      </c>
      <c r="U156" s="255">
        <f t="shared" si="41"/>
        <v>-41941.642659465222</v>
      </c>
      <c r="V156" s="255">
        <f t="shared" si="41"/>
        <v>-42066.354897479199</v>
      </c>
      <c r="W156" s="255">
        <f t="shared" si="41"/>
        <v>-42191.067135493184</v>
      </c>
      <c r="X156" s="255">
        <f t="shared" si="41"/>
        <v>-42319.601092009834</v>
      </c>
      <c r="Y156" s="255">
        <f t="shared" si="41"/>
        <v>-42448.135048526485</v>
      </c>
      <c r="Z156" s="255">
        <f t="shared" si="41"/>
        <v>-42576.669005043135</v>
      </c>
      <c r="AA156" s="255">
        <f t="shared" si="41"/>
        <v>-42705.202961559793</v>
      </c>
      <c r="AB156" s="255">
        <f t="shared" si="41"/>
        <v>-42833.736918076444</v>
      </c>
      <c r="AC156" s="268">
        <f t="shared" si="41"/>
        <v>-42962.270874593094</v>
      </c>
      <c r="AD156" s="360">
        <f t="shared" si="30"/>
        <v>-931061.381744807</v>
      </c>
    </row>
    <row r="157" spans="1:30" s="110" customFormat="1" ht="12">
      <c r="A157" s="58"/>
      <c r="C157" s="49"/>
      <c r="D157" s="308"/>
      <c r="E157" s="217"/>
      <c r="F157" s="255"/>
      <c r="G157" s="255"/>
      <c r="H157" s="255"/>
      <c r="I157" s="255"/>
      <c r="J157" s="255"/>
      <c r="K157" s="255"/>
      <c r="L157" s="255"/>
      <c r="M157" s="255"/>
      <c r="N157" s="255"/>
      <c r="O157" s="255"/>
      <c r="P157" s="255"/>
      <c r="Q157" s="255"/>
      <c r="R157" s="255"/>
      <c r="S157" s="255"/>
      <c r="T157" s="255"/>
      <c r="U157" s="255"/>
      <c r="V157" s="255"/>
      <c r="W157" s="255"/>
      <c r="X157" s="255"/>
      <c r="Y157" s="255"/>
      <c r="Z157" s="255"/>
      <c r="AA157" s="255"/>
      <c r="AB157" s="255"/>
      <c r="AC157" s="268"/>
      <c r="AD157" s="360"/>
    </row>
    <row r="158" spans="1:30" s="110" customFormat="1" ht="12">
      <c r="A158" s="58"/>
      <c r="B158" s="445" t="s">
        <v>588</v>
      </c>
      <c r="C158" s="78" t="s">
        <v>586</v>
      </c>
      <c r="D158" s="443">
        <v>-0.3</v>
      </c>
      <c r="E158" s="217"/>
      <c r="F158" s="45"/>
      <c r="G158" s="45"/>
      <c r="H158" s="45"/>
      <c r="I158" s="45"/>
      <c r="J158" s="45"/>
      <c r="K158" s="45"/>
      <c r="L158" s="45"/>
      <c r="M158" s="45"/>
      <c r="N158" s="45"/>
      <c r="O158" s="45"/>
      <c r="P158" s="45"/>
      <c r="Q158" s="45"/>
      <c r="R158" s="45"/>
      <c r="S158" s="45"/>
      <c r="T158" s="45"/>
      <c r="U158" s="45"/>
      <c r="V158" s="45"/>
      <c r="W158" s="45"/>
      <c r="X158" s="45"/>
      <c r="Y158" s="45"/>
      <c r="Z158" s="45"/>
      <c r="AA158" s="45"/>
      <c r="AB158" s="45"/>
      <c r="AC158" s="263"/>
      <c r="AD158" s="337"/>
    </row>
    <row r="159" spans="1:30" s="110" customFormat="1" ht="12">
      <c r="A159" s="58"/>
      <c r="B159" s="58"/>
      <c r="C159" s="78" t="s">
        <v>542</v>
      </c>
      <c r="D159" s="210">
        <f>D153*D$158</f>
        <v>-2.4766639592321058E-8</v>
      </c>
      <c r="E159" s="217"/>
      <c r="F159" s="55">
        <f>$D159*(F$10+F$11+F$12)</f>
        <v>0</v>
      </c>
      <c r="G159" s="55">
        <f t="shared" ref="G159:AC159" si="42">$D159*(G$10+G$11+G$12)</f>
        <v>-9.9479778596167998E-3</v>
      </c>
      <c r="H159" s="55">
        <f t="shared" si="42"/>
        <v>-2.0102994792723948E-2</v>
      </c>
      <c r="I159" s="55">
        <f t="shared" si="42"/>
        <v>-2.0310033866214296E-2</v>
      </c>
      <c r="J159" s="55">
        <f t="shared" si="42"/>
        <v>-2.0517072939704648E-2</v>
      </c>
      <c r="K159" s="55">
        <f t="shared" si="42"/>
        <v>-2.0724112013195E-2</v>
      </c>
      <c r="L159" s="55">
        <f t="shared" si="42"/>
        <v>-2.0931151086685352E-2</v>
      </c>
      <c r="M159" s="55">
        <f t="shared" si="42"/>
        <v>-2.11381901601757E-2</v>
      </c>
      <c r="N159" s="55">
        <f t="shared" si="42"/>
        <v>-2.1202575529445617E-2</v>
      </c>
      <c r="O159" s="55">
        <f t="shared" si="42"/>
        <v>-2.1266960898715537E-2</v>
      </c>
      <c r="P159" s="55">
        <f t="shared" si="42"/>
        <v>-2.1331346267985454E-2</v>
      </c>
      <c r="Q159" s="55">
        <f t="shared" si="42"/>
        <v>-2.1395731637255378E-2</v>
      </c>
      <c r="R159" s="55">
        <f t="shared" si="42"/>
        <v>-2.1460117006525291E-2</v>
      </c>
      <c r="S159" s="55">
        <f t="shared" si="42"/>
        <v>-2.1524502375795215E-2</v>
      </c>
      <c r="T159" s="55">
        <f t="shared" si="42"/>
        <v>-2.1588887745065136E-2</v>
      </c>
      <c r="U159" s="55">
        <f t="shared" si="42"/>
        <v>-2.1653273114335056E-2</v>
      </c>
      <c r="V159" s="55">
        <f t="shared" si="42"/>
        <v>-2.1717658483604969E-2</v>
      </c>
      <c r="W159" s="55">
        <f t="shared" si="42"/>
        <v>-2.1782043852874897E-2</v>
      </c>
      <c r="X159" s="55">
        <f t="shared" si="42"/>
        <v>-2.1848402266338055E-2</v>
      </c>
      <c r="Y159" s="55">
        <f t="shared" si="42"/>
        <v>-2.1914760679801221E-2</v>
      </c>
      <c r="Z159" s="55">
        <f t="shared" si="42"/>
        <v>-2.1981119093264386E-2</v>
      </c>
      <c r="AA159" s="55">
        <f t="shared" si="42"/>
        <v>-2.2047477506727555E-2</v>
      </c>
      <c r="AB159" s="55">
        <f t="shared" si="42"/>
        <v>-2.2113835920190717E-2</v>
      </c>
      <c r="AC159" s="270">
        <f t="shared" si="42"/>
        <v>-2.2180194333653883E-2</v>
      </c>
      <c r="AD159" s="338">
        <f>SUM(F159:AC159)</f>
        <v>-0.48068041942989415</v>
      </c>
    </row>
    <row r="160" spans="1:30" s="110" customFormat="1" ht="12">
      <c r="A160" s="58"/>
      <c r="B160" s="58"/>
      <c r="C160" s="49" t="s">
        <v>40</v>
      </c>
      <c r="D160" s="308">
        <f>D154</f>
        <v>-6200000</v>
      </c>
      <c r="E160" s="217"/>
      <c r="F160" s="315">
        <f>F159*$D160</f>
        <v>0</v>
      </c>
      <c r="G160" s="315">
        <f t="shared" ref="G160:AC160" si="43">G159*$D160</f>
        <v>61677.46272962416</v>
      </c>
      <c r="H160" s="315">
        <f t="shared" si="43"/>
        <v>124638.56771488847</v>
      </c>
      <c r="I160" s="315">
        <f t="shared" si="43"/>
        <v>125922.20997052864</v>
      </c>
      <c r="J160" s="315">
        <f t="shared" si="43"/>
        <v>127205.85222616882</v>
      </c>
      <c r="K160" s="315">
        <f t="shared" si="43"/>
        <v>128489.494481809</v>
      </c>
      <c r="L160" s="315">
        <f t="shared" si="43"/>
        <v>129773.13673744918</v>
      </c>
      <c r="M160" s="315">
        <f t="shared" si="43"/>
        <v>131056.77899308935</v>
      </c>
      <c r="N160" s="315">
        <f t="shared" si="43"/>
        <v>131455.96828256283</v>
      </c>
      <c r="O160" s="315">
        <f t="shared" si="43"/>
        <v>131855.15757203632</v>
      </c>
      <c r="P160" s="315">
        <f t="shared" si="43"/>
        <v>132254.34686150981</v>
      </c>
      <c r="Q160" s="315">
        <f t="shared" si="43"/>
        <v>132653.53615098333</v>
      </c>
      <c r="R160" s="315">
        <f t="shared" si="43"/>
        <v>133052.72544045679</v>
      </c>
      <c r="S160" s="315">
        <f t="shared" si="43"/>
        <v>133451.91472993034</v>
      </c>
      <c r="T160" s="315">
        <f t="shared" si="43"/>
        <v>133851.10401940384</v>
      </c>
      <c r="U160" s="315">
        <f t="shared" si="43"/>
        <v>134250.29330887736</v>
      </c>
      <c r="V160" s="315">
        <f t="shared" si="43"/>
        <v>134649.48259835082</v>
      </c>
      <c r="W160" s="315">
        <f t="shared" si="43"/>
        <v>135048.67188782437</v>
      </c>
      <c r="X160" s="315">
        <f t="shared" si="43"/>
        <v>135460.09405129595</v>
      </c>
      <c r="Y160" s="315">
        <f t="shared" si="43"/>
        <v>135871.51621476756</v>
      </c>
      <c r="Z160" s="315">
        <f t="shared" si="43"/>
        <v>136282.9383782392</v>
      </c>
      <c r="AA160" s="315">
        <f t="shared" si="43"/>
        <v>136694.36054171083</v>
      </c>
      <c r="AB160" s="315">
        <f t="shared" si="43"/>
        <v>137105.78270518244</v>
      </c>
      <c r="AC160" s="390">
        <f t="shared" si="43"/>
        <v>137517.20486865408</v>
      </c>
      <c r="AD160" s="359">
        <f>SUM(F160:AC160)</f>
        <v>2980218.6004653429</v>
      </c>
    </row>
    <row r="161" spans="1:30" s="110" customFormat="1" ht="12">
      <c r="A161" s="58"/>
      <c r="B161" s="58"/>
      <c r="C161" s="78" t="s">
        <v>543</v>
      </c>
      <c r="D161" s="210">
        <f>D155*D$158</f>
        <v>-7.5492952585009245E-7</v>
      </c>
      <c r="E161" s="217"/>
      <c r="F161" s="55">
        <f>$D161*(F$10+F$11+F$12)</f>
        <v>0</v>
      </c>
      <c r="G161" s="55">
        <f t="shared" ref="G161:AC161" si="44">$D161*(G$10+G$11+G$12)</f>
        <v>-0.30323137625244179</v>
      </c>
      <c r="H161" s="55">
        <f t="shared" si="44"/>
        <v>-0.61277365750270862</v>
      </c>
      <c r="I161" s="55">
        <f t="shared" si="44"/>
        <v>-0.61908456250053367</v>
      </c>
      <c r="J161" s="55">
        <f t="shared" si="44"/>
        <v>-0.62539546749835884</v>
      </c>
      <c r="K161" s="55">
        <f t="shared" si="44"/>
        <v>-0.63170637249618411</v>
      </c>
      <c r="L161" s="55">
        <f t="shared" si="44"/>
        <v>-0.63801727749400927</v>
      </c>
      <c r="M161" s="55">
        <f t="shared" si="44"/>
        <v>-0.64432818249183421</v>
      </c>
      <c r="N161" s="55">
        <f t="shared" si="44"/>
        <v>-0.64629075864648111</v>
      </c>
      <c r="O161" s="55">
        <f t="shared" si="44"/>
        <v>-0.64825333480112812</v>
      </c>
      <c r="P161" s="55">
        <f t="shared" si="44"/>
        <v>-0.65021591095577491</v>
      </c>
      <c r="Q161" s="55">
        <f t="shared" si="44"/>
        <v>-0.65217848711042203</v>
      </c>
      <c r="R161" s="55">
        <f t="shared" si="44"/>
        <v>-0.65414106326506871</v>
      </c>
      <c r="S161" s="55">
        <f t="shared" si="44"/>
        <v>-0.65610363941971572</v>
      </c>
      <c r="T161" s="55">
        <f t="shared" si="44"/>
        <v>-0.65806621557436262</v>
      </c>
      <c r="U161" s="55">
        <f t="shared" si="44"/>
        <v>-0.66002879172900952</v>
      </c>
      <c r="V161" s="55">
        <f t="shared" si="44"/>
        <v>-0.66199136788365631</v>
      </c>
      <c r="W161" s="55">
        <f t="shared" si="44"/>
        <v>-0.66395394403830343</v>
      </c>
      <c r="X161" s="55">
        <f t="shared" si="44"/>
        <v>-0.66597666195387561</v>
      </c>
      <c r="Y161" s="55">
        <f t="shared" si="44"/>
        <v>-0.66799937986944802</v>
      </c>
      <c r="Z161" s="55">
        <f t="shared" si="44"/>
        <v>-0.67002209778502042</v>
      </c>
      <c r="AA161" s="55">
        <f t="shared" si="44"/>
        <v>-0.67204481570059282</v>
      </c>
      <c r="AB161" s="55">
        <f t="shared" si="44"/>
        <v>-0.67406753361616523</v>
      </c>
      <c r="AC161" s="270">
        <f t="shared" si="44"/>
        <v>-0.67609025153173752</v>
      </c>
      <c r="AD161" s="338">
        <f>SUM(F161:AC161)</f>
        <v>-14.651961150116835</v>
      </c>
    </row>
    <row r="162" spans="1:30" s="110" customFormat="1" ht="12">
      <c r="A162" s="58"/>
      <c r="B162" s="58"/>
      <c r="C162" s="49" t="s">
        <v>41</v>
      </c>
      <c r="D162" s="308">
        <f>D156</f>
        <v>-291400</v>
      </c>
      <c r="E162" s="217"/>
      <c r="F162" s="315">
        <f>F161*$D162</f>
        <v>0</v>
      </c>
      <c r="G162" s="315">
        <f t="shared" ref="G162:AC162" si="45">G161*$D162</f>
        <v>88361.623039961531</v>
      </c>
      <c r="H162" s="315">
        <f t="shared" si="45"/>
        <v>178562.24379628929</v>
      </c>
      <c r="I162" s="315">
        <f t="shared" si="45"/>
        <v>180401.24151265551</v>
      </c>
      <c r="J162" s="315">
        <f t="shared" si="45"/>
        <v>182240.23922902177</v>
      </c>
      <c r="K162" s="315">
        <f t="shared" si="45"/>
        <v>184079.23694538805</v>
      </c>
      <c r="L162" s="315">
        <f t="shared" si="45"/>
        <v>185918.23466175431</v>
      </c>
      <c r="M162" s="315">
        <f t="shared" si="45"/>
        <v>187757.23237812048</v>
      </c>
      <c r="N162" s="315">
        <f t="shared" si="45"/>
        <v>188329.12706958459</v>
      </c>
      <c r="O162" s="315">
        <f t="shared" si="45"/>
        <v>188901.02176104873</v>
      </c>
      <c r="P162" s="315">
        <f t="shared" si="45"/>
        <v>189472.91645251281</v>
      </c>
      <c r="Q162" s="315">
        <f t="shared" si="45"/>
        <v>190044.81114397699</v>
      </c>
      <c r="R162" s="315">
        <f t="shared" si="45"/>
        <v>190616.70583544101</v>
      </c>
      <c r="S162" s="315">
        <f t="shared" si="45"/>
        <v>191188.60052690515</v>
      </c>
      <c r="T162" s="315">
        <f t="shared" si="45"/>
        <v>191760.49521836927</v>
      </c>
      <c r="U162" s="315">
        <f t="shared" si="45"/>
        <v>192332.38990983338</v>
      </c>
      <c r="V162" s="315">
        <f t="shared" si="45"/>
        <v>192904.28460129746</v>
      </c>
      <c r="W162" s="315">
        <f t="shared" si="45"/>
        <v>193476.17929276163</v>
      </c>
      <c r="X162" s="315">
        <f t="shared" si="45"/>
        <v>194065.59929335935</v>
      </c>
      <c r="Y162" s="315">
        <f t="shared" si="45"/>
        <v>194655.01929395716</v>
      </c>
      <c r="Z162" s="315">
        <f t="shared" si="45"/>
        <v>195244.43929455496</v>
      </c>
      <c r="AA162" s="315">
        <f t="shared" si="45"/>
        <v>195833.85929515274</v>
      </c>
      <c r="AB162" s="315">
        <f t="shared" si="45"/>
        <v>196423.27929575054</v>
      </c>
      <c r="AC162" s="390">
        <f t="shared" si="45"/>
        <v>197012.69929634832</v>
      </c>
      <c r="AD162" s="359">
        <f>SUM(F162:AC162)</f>
        <v>4269581.4791440452</v>
      </c>
    </row>
    <row r="163" spans="1:30" s="110" customFormat="1" ht="12">
      <c r="A163" s="58"/>
      <c r="C163" s="49"/>
      <c r="D163" s="308"/>
      <c r="E163" s="217"/>
      <c r="F163" s="255"/>
      <c r="G163" s="255"/>
      <c r="H163" s="255"/>
      <c r="I163" s="255"/>
      <c r="J163" s="255"/>
      <c r="K163" s="255"/>
      <c r="L163" s="255"/>
      <c r="M163" s="255"/>
      <c r="N163" s="255"/>
      <c r="O163" s="255"/>
      <c r="P163" s="255"/>
      <c r="Q163" s="255"/>
      <c r="R163" s="255"/>
      <c r="S163" s="255"/>
      <c r="T163" s="255"/>
      <c r="U163" s="255"/>
      <c r="V163" s="255"/>
      <c r="W163" s="255"/>
      <c r="X163" s="255"/>
      <c r="Y163" s="255"/>
      <c r="Z163" s="255"/>
      <c r="AA163" s="255"/>
      <c r="AB163" s="255"/>
      <c r="AC163" s="268"/>
      <c r="AD163" s="360"/>
    </row>
    <row r="164" spans="1:30" s="110" customFormat="1" ht="12">
      <c r="A164" s="58"/>
      <c r="B164" s="58" t="s">
        <v>222</v>
      </c>
      <c r="D164" s="210"/>
      <c r="E164" s="217"/>
      <c r="AC164" s="262"/>
      <c r="AD164" s="337"/>
    </row>
    <row r="165" spans="1:30" s="110" customFormat="1" ht="12">
      <c r="A165" s="58"/>
      <c r="B165" s="444" t="s">
        <v>587</v>
      </c>
      <c r="C165" s="78" t="s">
        <v>518</v>
      </c>
      <c r="D165" s="210"/>
      <c r="E165" s="217"/>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270"/>
      <c r="AD165" s="353"/>
    </row>
    <row r="166" spans="1:30" s="110" customFormat="1" ht="12">
      <c r="A166" s="58"/>
      <c r="C166" s="78" t="s">
        <v>542</v>
      </c>
      <c r="D166" s="210">
        <f>'Mode Operating Assumptions'!$D$195</f>
        <v>1.8722590666405648E-7</v>
      </c>
      <c r="E166" s="217"/>
      <c r="F166" s="55">
        <f>$D166*(F$16+F$17)</f>
        <v>0</v>
      </c>
      <c r="G166" s="55">
        <f t="shared" ref="G166:AC166" si="46">$D166*(G$16+G$17)</f>
        <v>3.0393325047345873E-5</v>
      </c>
      <c r="H166" s="55">
        <f t="shared" si="46"/>
        <v>6.9102263827645579E-5</v>
      </c>
      <c r="I166" s="55">
        <f t="shared" si="46"/>
        <v>7.8555453519267506E-5</v>
      </c>
      <c r="J166" s="55">
        <f t="shared" si="46"/>
        <v>8.9301839560703298E-5</v>
      </c>
      <c r="K166" s="55">
        <f t="shared" si="46"/>
        <v>1.015183312126075E-4</v>
      </c>
      <c r="L166" s="55">
        <f t="shared" si="46"/>
        <v>1.1540603892249221E-4</v>
      </c>
      <c r="M166" s="55">
        <f t="shared" si="46"/>
        <v>1.3119358504708916E-4</v>
      </c>
      <c r="N166" s="55">
        <f t="shared" si="46"/>
        <v>1.4914086748153097E-4</v>
      </c>
      <c r="O166" s="55">
        <f t="shared" si="46"/>
        <v>1.695433381530044E-4</v>
      </c>
      <c r="P166" s="55">
        <f t="shared" si="46"/>
        <v>1.9273686681233544E-4</v>
      </c>
      <c r="Q166" s="55">
        <f t="shared" si="46"/>
        <v>2.1910327019226294E-4</v>
      </c>
      <c r="R166" s="55">
        <f t="shared" si="46"/>
        <v>2.4907659755456446E-4</v>
      </c>
      <c r="S166" s="55">
        <f t="shared" si="46"/>
        <v>2.8315027610002893E-4</v>
      </c>
      <c r="T166" s="55">
        <f t="shared" si="46"/>
        <v>3.2188523387051291E-4</v>
      </c>
      <c r="U166" s="55">
        <f t="shared" si="46"/>
        <v>3.6591913386399907E-4</v>
      </c>
      <c r="V166" s="55">
        <f t="shared" si="46"/>
        <v>4.1597687137659417E-4</v>
      </c>
      <c r="W166" s="55">
        <f t="shared" si="46"/>
        <v>4.7288250738091229E-4</v>
      </c>
      <c r="X166" s="55">
        <f t="shared" si="46"/>
        <v>5.3757283439062121E-4</v>
      </c>
      <c r="Y166" s="55">
        <f t="shared" si="46"/>
        <v>6.1111279813525811E-4</v>
      </c>
      <c r="Z166" s="55">
        <f t="shared" si="46"/>
        <v>6.9471302892016142E-4</v>
      </c>
      <c r="AA166" s="55">
        <f t="shared" si="46"/>
        <v>7.8974977127643971E-4</v>
      </c>
      <c r="AB166" s="55">
        <f t="shared" si="46"/>
        <v>8.9778753998705641E-4</v>
      </c>
      <c r="AC166" s="270">
        <f t="shared" si="46"/>
        <v>1.0206048754572857E-3</v>
      </c>
      <c r="AD166" s="353">
        <f t="shared" si="30"/>
        <v>8.0064266480897196E-3</v>
      </c>
    </row>
    <row r="167" spans="1:30" s="110" customFormat="1" ht="12">
      <c r="A167" s="58"/>
      <c r="C167" s="49" t="s">
        <v>40</v>
      </c>
      <c r="D167" s="308">
        <f>D154</f>
        <v>-6200000</v>
      </c>
      <c r="E167" s="217"/>
      <c r="F167" s="255">
        <f>F166*$D167</f>
        <v>0</v>
      </c>
      <c r="G167" s="255">
        <f t="shared" ref="G167:AC167" si="47">G166*$D167</f>
        <v>-188.43861529354442</v>
      </c>
      <c r="H167" s="255">
        <f t="shared" si="47"/>
        <v>-428.43403573140262</v>
      </c>
      <c r="I167" s="255">
        <f t="shared" si="47"/>
        <v>-487.04381181945854</v>
      </c>
      <c r="J167" s="255">
        <f t="shared" si="47"/>
        <v>-553.67140527636047</v>
      </c>
      <c r="K167" s="255">
        <f t="shared" si="47"/>
        <v>-629.41365351816648</v>
      </c>
      <c r="L167" s="255">
        <f t="shared" si="47"/>
        <v>-715.51744131945168</v>
      </c>
      <c r="M167" s="255">
        <f t="shared" si="47"/>
        <v>-813.40022729195277</v>
      </c>
      <c r="N167" s="255">
        <f t="shared" si="47"/>
        <v>-924.67337838549201</v>
      </c>
      <c r="O167" s="255">
        <f t="shared" si="47"/>
        <v>-1051.1686965486274</v>
      </c>
      <c r="P167" s="255">
        <f t="shared" si="47"/>
        <v>-1194.9685742364798</v>
      </c>
      <c r="Q167" s="255">
        <f t="shared" si="47"/>
        <v>-1358.4402751920302</v>
      </c>
      <c r="R167" s="255">
        <f t="shared" si="47"/>
        <v>-1544.2749048382996</v>
      </c>
      <c r="S167" s="255">
        <f t="shared" si="47"/>
        <v>-1755.5317118201795</v>
      </c>
      <c r="T167" s="255">
        <f t="shared" si="47"/>
        <v>-1995.68844999718</v>
      </c>
      <c r="U167" s="255">
        <f t="shared" si="47"/>
        <v>-2268.6986299567943</v>
      </c>
      <c r="V167" s="255">
        <f t="shared" si="47"/>
        <v>-2579.056602534884</v>
      </c>
      <c r="W167" s="255">
        <f t="shared" si="47"/>
        <v>-2931.8715457616563</v>
      </c>
      <c r="X167" s="255">
        <f t="shared" si="47"/>
        <v>-3332.9515732218515</v>
      </c>
      <c r="Y167" s="255">
        <f t="shared" si="47"/>
        <v>-3788.8993484386001</v>
      </c>
      <c r="Z167" s="255">
        <f t="shared" si="47"/>
        <v>-4307.2207793050011</v>
      </c>
      <c r="AA167" s="255">
        <f t="shared" si="47"/>
        <v>-4896.4485819139263</v>
      </c>
      <c r="AB167" s="255">
        <f t="shared" si="47"/>
        <v>-5566.2827479197495</v>
      </c>
      <c r="AC167" s="268">
        <f t="shared" si="47"/>
        <v>-6327.7502278351712</v>
      </c>
      <c r="AD167" s="346">
        <f t="shared" si="30"/>
        <v>-49639.845218156261</v>
      </c>
    </row>
    <row r="168" spans="1:30" s="110" customFormat="1" ht="12">
      <c r="A168" s="58"/>
      <c r="C168" s="78" t="s">
        <v>543</v>
      </c>
      <c r="D168" s="210">
        <f>'Mode Operating Assumptions'!$D$196</f>
        <v>8.7375046258002826E-6</v>
      </c>
      <c r="E168" s="217"/>
      <c r="F168" s="55">
        <f>$D168*(F$16+F$17)</f>
        <v>0</v>
      </c>
      <c r="G168" s="55">
        <f t="shared" ref="G168:AC168" si="48">$D168*(G$16+G$17)</f>
        <v>1.4184031629294739E-3</v>
      </c>
      <c r="H168" s="55">
        <f t="shared" si="48"/>
        <v>3.2248814312364517E-3</v>
      </c>
      <c r="I168" s="55">
        <f t="shared" si="48"/>
        <v>3.6660452110295989E-3</v>
      </c>
      <c r="J168" s="55">
        <f t="shared" si="48"/>
        <v>4.1675601958984475E-3</v>
      </c>
      <c r="K168" s="55">
        <f t="shared" si="48"/>
        <v>4.7376824306973554E-3</v>
      </c>
      <c r="L168" s="55">
        <f t="shared" si="48"/>
        <v>5.3857973872167538E-3</v>
      </c>
      <c r="M168" s="55">
        <f t="shared" si="48"/>
        <v>6.1225744697880067E-3</v>
      </c>
      <c r="N168" s="55">
        <f t="shared" si="48"/>
        <v>6.9601426572550055E-3</v>
      </c>
      <c r="O168" s="55">
        <f t="shared" si="48"/>
        <v>7.9122901727674902E-3</v>
      </c>
      <c r="P168" s="55">
        <f t="shared" si="48"/>
        <v>8.9946914684020853E-3</v>
      </c>
      <c r="Q168" s="55">
        <f t="shared" si="48"/>
        <v>1.0225165261279491E-2</v>
      </c>
      <c r="R168" s="55">
        <f t="shared" si="48"/>
        <v>1.1623967869022523E-2</v>
      </c>
      <c r="S168" s="55">
        <f t="shared" si="48"/>
        <v>1.3214126673504805E-2</v>
      </c>
      <c r="T168" s="55">
        <f t="shared" si="48"/>
        <v>1.5021819202440263E-2</v>
      </c>
      <c r="U168" s="55">
        <f t="shared" si="48"/>
        <v>1.7076804069334095E-2</v>
      </c>
      <c r="V168" s="55">
        <f t="shared" si="48"/>
        <v>1.9412910866018998E-2</v>
      </c>
      <c r="W168" s="55">
        <f t="shared" si="48"/>
        <v>2.2068597072490398E-2</v>
      </c>
      <c r="X168" s="55">
        <f t="shared" si="48"/>
        <v>2.5087581152007092E-2</v>
      </c>
      <c r="Y168" s="55">
        <f t="shared" si="48"/>
        <v>2.8519562253601659E-2</v>
      </c>
      <c r="Z168" s="55">
        <f t="shared" si="48"/>
        <v>3.2421038369894364E-2</v>
      </c>
      <c r="AA168" s="55">
        <f t="shared" si="48"/>
        <v>3.6856236418895919E-2</v>
      </c>
      <c r="AB168" s="55">
        <f t="shared" si="48"/>
        <v>4.1898169561000877E-2</v>
      </c>
      <c r="AC168" s="270">
        <f t="shared" si="48"/>
        <v>4.762983915694579E-2</v>
      </c>
      <c r="AD168" s="353">
        <f t="shared" si="30"/>
        <v>0.37364588651365693</v>
      </c>
    </row>
    <row r="169" spans="1:30" s="110" customFormat="1" ht="12">
      <c r="A169" s="58"/>
      <c r="C169" s="49" t="s">
        <v>41</v>
      </c>
      <c r="D169" s="308">
        <f>D156</f>
        <v>-291400</v>
      </c>
      <c r="E169" s="217"/>
      <c r="F169" s="255">
        <f>F168*$D167</f>
        <v>0</v>
      </c>
      <c r="G169" s="255">
        <f t="shared" ref="G169:AC169" si="49">G168*$D167</f>
        <v>-8794.0996101627388</v>
      </c>
      <c r="H169" s="255">
        <f t="shared" si="49"/>
        <v>-19994.264873666001</v>
      </c>
      <c r="I169" s="255">
        <f t="shared" si="49"/>
        <v>-22729.480308383514</v>
      </c>
      <c r="J169" s="255">
        <f t="shared" si="49"/>
        <v>-25838.873214570376</v>
      </c>
      <c r="K169" s="255">
        <f t="shared" si="49"/>
        <v>-29373.631070323605</v>
      </c>
      <c r="L169" s="255">
        <f t="shared" si="49"/>
        <v>-33391.943800743873</v>
      </c>
      <c r="M169" s="255">
        <f t="shared" si="49"/>
        <v>-37959.961712685639</v>
      </c>
      <c r="N169" s="255">
        <f t="shared" si="49"/>
        <v>-43152.884474981038</v>
      </c>
      <c r="O169" s="255">
        <f t="shared" si="49"/>
        <v>-49056.199071158437</v>
      </c>
      <c r="P169" s="255">
        <f t="shared" si="49"/>
        <v>-55767.087104092927</v>
      </c>
      <c r="Q169" s="255">
        <f t="shared" si="49"/>
        <v>-63396.024619932839</v>
      </c>
      <c r="R169" s="255">
        <f t="shared" si="49"/>
        <v>-72068.600787939649</v>
      </c>
      <c r="S169" s="255">
        <f t="shared" si="49"/>
        <v>-81927.585375729788</v>
      </c>
      <c r="T169" s="255">
        <f t="shared" si="49"/>
        <v>-93135.279055129635</v>
      </c>
      <c r="U169" s="255">
        <f t="shared" si="49"/>
        <v>-105876.18522987139</v>
      </c>
      <c r="V169" s="255">
        <f t="shared" si="49"/>
        <v>-120360.04736931779</v>
      </c>
      <c r="W169" s="255">
        <f t="shared" si="49"/>
        <v>-136825.30184944047</v>
      </c>
      <c r="X169" s="255">
        <f t="shared" si="49"/>
        <v>-155543.00314244398</v>
      </c>
      <c r="Y169" s="255">
        <f t="shared" si="49"/>
        <v>-176821.28597233028</v>
      </c>
      <c r="Z169" s="255">
        <f t="shared" si="49"/>
        <v>-201010.43789334505</v>
      </c>
      <c r="AA169" s="255">
        <f t="shared" si="49"/>
        <v>-228508.66579715468</v>
      </c>
      <c r="AB169" s="255">
        <f t="shared" si="49"/>
        <v>-259768.65127820545</v>
      </c>
      <c r="AC169" s="268">
        <f t="shared" si="49"/>
        <v>-295305.0027730639</v>
      </c>
      <c r="AD169" s="346">
        <f t="shared" si="30"/>
        <v>-2316604.4963846728</v>
      </c>
    </row>
    <row r="170" spans="1:30" s="110" customFormat="1" ht="12">
      <c r="A170" s="58"/>
      <c r="C170" s="49"/>
      <c r="D170" s="308"/>
      <c r="E170" s="217"/>
      <c r="F170" s="255"/>
      <c r="G170" s="255"/>
      <c r="H170" s="255"/>
      <c r="I170" s="255"/>
      <c r="J170" s="255"/>
      <c r="K170" s="255"/>
      <c r="L170" s="255"/>
      <c r="M170" s="255"/>
      <c r="N170" s="255"/>
      <c r="O170" s="255"/>
      <c r="P170" s="255"/>
      <c r="Q170" s="255"/>
      <c r="R170" s="255"/>
      <c r="S170" s="255"/>
      <c r="T170" s="255"/>
      <c r="U170" s="255"/>
      <c r="V170" s="255"/>
      <c r="W170" s="255"/>
      <c r="X170" s="255"/>
      <c r="Y170" s="255"/>
      <c r="Z170" s="255"/>
      <c r="AA170" s="255"/>
      <c r="AB170" s="255"/>
      <c r="AC170" s="268"/>
      <c r="AD170" s="346"/>
    </row>
    <row r="171" spans="1:30" s="110" customFormat="1" ht="12">
      <c r="A171" s="58"/>
      <c r="B171" s="445" t="s">
        <v>588</v>
      </c>
      <c r="C171" s="78" t="s">
        <v>586</v>
      </c>
      <c r="D171" s="443">
        <v>-0.2</v>
      </c>
      <c r="E171" s="217"/>
      <c r="F171" s="45"/>
      <c r="G171" s="45"/>
      <c r="H171" s="45"/>
      <c r="I171" s="45"/>
      <c r="J171" s="45"/>
      <c r="K171" s="45"/>
      <c r="L171" s="45"/>
      <c r="M171" s="45"/>
      <c r="N171" s="45"/>
      <c r="O171" s="45"/>
      <c r="P171" s="45"/>
      <c r="Q171" s="45"/>
      <c r="R171" s="45"/>
      <c r="S171" s="45"/>
      <c r="T171" s="45"/>
      <c r="U171" s="45"/>
      <c r="V171" s="45"/>
      <c r="W171" s="45"/>
      <c r="X171" s="45"/>
      <c r="Y171" s="45"/>
      <c r="Z171" s="45"/>
      <c r="AA171" s="45"/>
      <c r="AB171" s="45"/>
      <c r="AC171" s="263"/>
      <c r="AD171" s="337"/>
    </row>
    <row r="172" spans="1:30" s="110" customFormat="1" ht="12">
      <c r="A172" s="58"/>
      <c r="C172" s="78" t="s">
        <v>542</v>
      </c>
      <c r="D172" s="210">
        <f>D166*D$171</f>
        <v>-3.7445181332811299E-8</v>
      </c>
      <c r="E172" s="217"/>
      <c r="F172" s="55">
        <f>$D172*(F$15+F$16+F$17)</f>
        <v>0</v>
      </c>
      <c r="G172" s="55">
        <f t="shared" ref="G172:AC172" si="50">$D172*(G$15+G$16+G$17)</f>
        <v>-9.2916736573314565E-5</v>
      </c>
      <c r="H172" s="55">
        <f t="shared" si="50"/>
        <v>-2.1125549227308794E-4</v>
      </c>
      <c r="I172" s="55">
        <f t="shared" si="50"/>
        <v>-2.401552436160464E-4</v>
      </c>
      <c r="J172" s="55">
        <f t="shared" si="50"/>
        <v>-2.7300848094272156E-4</v>
      </c>
      <c r="K172" s="55">
        <f t="shared" si="50"/>
        <v>-3.1035604113568586E-4</v>
      </c>
      <c r="L172" s="55">
        <f t="shared" si="50"/>
        <v>-3.5281274756304763E-4</v>
      </c>
      <c r="M172" s="55">
        <f t="shared" si="50"/>
        <v>-4.0107753142967263E-4</v>
      </c>
      <c r="N172" s="55">
        <f t="shared" si="50"/>
        <v>-4.5594493772925184E-4</v>
      </c>
      <c r="O172" s="55">
        <f t="shared" si="50"/>
        <v>-5.1831820521061351E-4</v>
      </c>
      <c r="P172" s="55">
        <f t="shared" si="50"/>
        <v>-5.892241356834255E-4</v>
      </c>
      <c r="Q172" s="55">
        <f t="shared" si="50"/>
        <v>-6.6982999744491815E-4</v>
      </c>
      <c r="R172" s="55">
        <f t="shared" si="50"/>
        <v>-7.6146274109538295E-4</v>
      </c>
      <c r="S172" s="55">
        <f t="shared" si="50"/>
        <v>-8.6563084407723122E-4</v>
      </c>
      <c r="T172" s="55">
        <f t="shared" si="50"/>
        <v>-9.8404914354699663E-4</v>
      </c>
      <c r="U172" s="55">
        <f t="shared" si="50"/>
        <v>-1.1186670663842259E-3</v>
      </c>
      <c r="V172" s="55">
        <f t="shared" si="50"/>
        <v>-1.2717007210655881E-3</v>
      </c>
      <c r="W172" s="55">
        <f t="shared" si="50"/>
        <v>-1.4456693797073607E-3</v>
      </c>
      <c r="X172" s="55">
        <f t="shared" si="50"/>
        <v>-1.6434369508513277E-3</v>
      </c>
      <c r="Y172" s="55">
        <f t="shared" si="50"/>
        <v>-1.8682591257277892E-3</v>
      </c>
      <c r="Z172" s="55">
        <f t="shared" si="50"/>
        <v>-2.1238369741273509E-3</v>
      </c>
      <c r="AA172" s="55">
        <f t="shared" si="50"/>
        <v>-2.4143778721879726E-3</v>
      </c>
      <c r="AB172" s="55">
        <f t="shared" si="50"/>
        <v>-2.7446647651032871E-3</v>
      </c>
      <c r="AC172" s="270">
        <f t="shared" si="50"/>
        <v>-3.1201349049694163E-3</v>
      </c>
      <c r="AD172" s="338">
        <f>SUM(F172:AC172)</f>
        <v>-2.4476790038445717E-2</v>
      </c>
    </row>
    <row r="173" spans="1:30" s="110" customFormat="1" ht="12">
      <c r="A173" s="58"/>
      <c r="B173" s="58"/>
      <c r="C173" s="49" t="s">
        <v>40</v>
      </c>
      <c r="D173" s="308">
        <f>D167</f>
        <v>-6200000</v>
      </c>
      <c r="E173" s="217"/>
      <c r="F173" s="315">
        <f>F172*$D173</f>
        <v>0</v>
      </c>
      <c r="G173" s="315">
        <f t="shared" ref="G173:AC173" si="51">G172*$D173</f>
        <v>576.08376675455031</v>
      </c>
      <c r="H173" s="315">
        <f t="shared" si="51"/>
        <v>1309.7840520931452</v>
      </c>
      <c r="I173" s="315">
        <f t="shared" si="51"/>
        <v>1488.9625104194877</v>
      </c>
      <c r="J173" s="315">
        <f t="shared" si="51"/>
        <v>1692.6525818448736</v>
      </c>
      <c r="K173" s="315">
        <f t="shared" si="51"/>
        <v>1924.2074550412524</v>
      </c>
      <c r="L173" s="315">
        <f t="shared" si="51"/>
        <v>2187.4390348908955</v>
      </c>
      <c r="M173" s="315">
        <f t="shared" si="51"/>
        <v>2486.6806948639701</v>
      </c>
      <c r="N173" s="315">
        <f t="shared" si="51"/>
        <v>2826.8586139213612</v>
      </c>
      <c r="O173" s="315">
        <f t="shared" si="51"/>
        <v>3213.5728723058037</v>
      </c>
      <c r="P173" s="315">
        <f t="shared" si="51"/>
        <v>3653.189641237238</v>
      </c>
      <c r="Q173" s="315">
        <f t="shared" si="51"/>
        <v>4152.9459841584921</v>
      </c>
      <c r="R173" s="315">
        <f t="shared" si="51"/>
        <v>4721.0689947913743</v>
      </c>
      <c r="S173" s="315">
        <f t="shared" si="51"/>
        <v>5366.9112332788336</v>
      </c>
      <c r="T173" s="315">
        <f t="shared" si="51"/>
        <v>6101.104689991379</v>
      </c>
      <c r="U173" s="315">
        <f t="shared" si="51"/>
        <v>6935.7358115822008</v>
      </c>
      <c r="V173" s="315">
        <f t="shared" si="51"/>
        <v>7884.5444706066455</v>
      </c>
      <c r="W173" s="315">
        <f t="shared" si="51"/>
        <v>8963.150154185636</v>
      </c>
      <c r="X173" s="315">
        <f t="shared" si="51"/>
        <v>10189.309095278231</v>
      </c>
      <c r="Y173" s="315">
        <f t="shared" si="51"/>
        <v>11583.206579512293</v>
      </c>
      <c r="Z173" s="315">
        <f t="shared" si="51"/>
        <v>13167.789239589576</v>
      </c>
      <c r="AA173" s="315">
        <f t="shared" si="51"/>
        <v>14969.142807565429</v>
      </c>
      <c r="AB173" s="315">
        <f t="shared" si="51"/>
        <v>17016.921543640379</v>
      </c>
      <c r="AC173" s="390">
        <f t="shared" si="51"/>
        <v>19344.836410810381</v>
      </c>
      <c r="AD173" s="359">
        <f>SUM(F173:AC173)</f>
        <v>151756.09823836343</v>
      </c>
    </row>
    <row r="174" spans="1:30" s="110" customFormat="1" ht="12">
      <c r="A174" s="58"/>
      <c r="B174" s="58"/>
      <c r="C174" s="78" t="s">
        <v>543</v>
      </c>
      <c r="D174" s="210">
        <f>D168*D$171</f>
        <v>-1.7475009251600567E-6</v>
      </c>
      <c r="E174" s="217"/>
      <c r="F174" s="55">
        <f>$D174*(F$15+F$16+F$17)</f>
        <v>0</v>
      </c>
      <c r="G174" s="55">
        <f t="shared" ref="G174:AC174" si="52">$D174*(G$15+G$16+G$17)</f>
        <v>-4.3362610980986786E-3</v>
      </c>
      <c r="H174" s="55">
        <f t="shared" si="52"/>
        <v>-9.8589232326371547E-3</v>
      </c>
      <c r="I174" s="55">
        <f t="shared" si="52"/>
        <v>-1.1207623930861917E-2</v>
      </c>
      <c r="J174" s="55">
        <f t="shared" si="52"/>
        <v>-1.2740826884603828E-2</v>
      </c>
      <c r="K174" s="55">
        <f t="shared" si="52"/>
        <v>-1.4483772002417633E-2</v>
      </c>
      <c r="L174" s="55">
        <f t="shared" si="52"/>
        <v>-1.6465152012348362E-2</v>
      </c>
      <c r="M174" s="55">
        <f t="shared" si="52"/>
        <v>-1.8717584807637622E-2</v>
      </c>
      <c r="N174" s="55">
        <f t="shared" si="52"/>
        <v>-2.127815040932245E-2</v>
      </c>
      <c r="O174" s="55">
        <f t="shared" si="52"/>
        <v>-2.4189001385317762E-2</v>
      </c>
      <c r="P174" s="55">
        <f t="shared" si="52"/>
        <v>-2.7498056774829235E-2</v>
      </c>
      <c r="Q174" s="55">
        <f t="shared" si="52"/>
        <v>-3.125979094162587E-2</v>
      </c>
      <c r="R174" s="55">
        <f t="shared" si="52"/>
        <v>-3.5536130342440291E-2</v>
      </c>
      <c r="S174" s="55">
        <f t="shared" si="52"/>
        <v>-4.0397472973286122E-2</v>
      </c>
      <c r="T174" s="55">
        <f t="shared" si="52"/>
        <v>-4.5923847276031673E-2</v>
      </c>
      <c r="U174" s="55">
        <f t="shared" si="52"/>
        <v>-5.2206229583392806E-2</v>
      </c>
      <c r="V174" s="55">
        <f t="shared" si="52"/>
        <v>-5.9348041790400943E-2</v>
      </c>
      <c r="W174" s="55">
        <f t="shared" si="52"/>
        <v>-6.7466853907327803E-2</v>
      </c>
      <c r="X174" s="55">
        <f t="shared" si="52"/>
        <v>-7.6696319521850242E-2</v>
      </c>
      <c r="Y174" s="55">
        <f t="shared" si="52"/>
        <v>-8.7188376032439355E-2</v>
      </c>
      <c r="Z174" s="55">
        <f t="shared" si="52"/>
        <v>-9.911574587367708E-2</v>
      </c>
      <c r="AA174" s="55">
        <f t="shared" si="52"/>
        <v>-0.1126747799091961</v>
      </c>
      <c r="AB174" s="55">
        <f t="shared" si="52"/>
        <v>-0.12808868980077412</v>
      </c>
      <c r="AC174" s="270">
        <f t="shared" si="52"/>
        <v>-0.14561122256552</v>
      </c>
      <c r="AD174" s="338">
        <f>SUM(F174:AC174)</f>
        <v>-1.1422888530560371</v>
      </c>
    </row>
    <row r="175" spans="1:30" s="110" customFormat="1" ht="12">
      <c r="A175" s="58"/>
      <c r="B175" s="58"/>
      <c r="C175" s="49" t="s">
        <v>41</v>
      </c>
      <c r="D175" s="308">
        <f>D169</f>
        <v>-291400</v>
      </c>
      <c r="E175" s="217"/>
      <c r="F175" s="315">
        <f>F174*$D175</f>
        <v>0</v>
      </c>
      <c r="G175" s="315">
        <f t="shared" ref="G175:AC175" si="53">G174*$D175</f>
        <v>1263.5864839859551</v>
      </c>
      <c r="H175" s="315">
        <f t="shared" si="53"/>
        <v>2872.8902299904667</v>
      </c>
      <c r="I175" s="315">
        <f t="shared" si="53"/>
        <v>3265.9016134531626</v>
      </c>
      <c r="J175" s="315">
        <f t="shared" si="53"/>
        <v>3712.6769541735553</v>
      </c>
      <c r="K175" s="315">
        <f t="shared" si="53"/>
        <v>4220.5711615044984</v>
      </c>
      <c r="L175" s="315">
        <f t="shared" si="53"/>
        <v>4797.9452963983131</v>
      </c>
      <c r="M175" s="315">
        <f t="shared" si="53"/>
        <v>5454.3042129456035</v>
      </c>
      <c r="N175" s="315">
        <f t="shared" si="53"/>
        <v>6200.4530292765621</v>
      </c>
      <c r="O175" s="315">
        <f t="shared" si="53"/>
        <v>7048.6750036815956</v>
      </c>
      <c r="P175" s="315">
        <f t="shared" si="53"/>
        <v>8012.9337441852394</v>
      </c>
      <c r="Q175" s="315">
        <f t="shared" si="53"/>
        <v>9109.1030803897793</v>
      </c>
      <c r="R175" s="315">
        <f t="shared" si="53"/>
        <v>10355.228381787101</v>
      </c>
      <c r="S175" s="315">
        <f t="shared" si="53"/>
        <v>11771.823624415576</v>
      </c>
      <c r="T175" s="315">
        <f t="shared" si="53"/>
        <v>13382.209096235629</v>
      </c>
      <c r="U175" s="315">
        <f t="shared" si="53"/>
        <v>15212.895300600663</v>
      </c>
      <c r="V175" s="315">
        <f t="shared" si="53"/>
        <v>17294.019377722834</v>
      </c>
      <c r="W175" s="315">
        <f t="shared" si="53"/>
        <v>19659.841228595324</v>
      </c>
      <c r="X175" s="315">
        <f t="shared" si="53"/>
        <v>22349.30750866716</v>
      </c>
      <c r="Y175" s="315">
        <f t="shared" si="53"/>
        <v>25406.692775852829</v>
      </c>
      <c r="Z175" s="315">
        <f t="shared" si="53"/>
        <v>28882.3283475895</v>
      </c>
      <c r="AA175" s="315">
        <f t="shared" si="53"/>
        <v>32833.43086553974</v>
      </c>
      <c r="AB175" s="315">
        <f t="shared" si="53"/>
        <v>37325.044207945575</v>
      </c>
      <c r="AC175" s="390">
        <f t="shared" si="53"/>
        <v>42431.110255592532</v>
      </c>
      <c r="AD175" s="359">
        <f>SUM(F175:AC175)</f>
        <v>332862.97178052913</v>
      </c>
    </row>
    <row r="176" spans="1:30" s="110" customFormat="1" ht="12">
      <c r="A176" s="58"/>
      <c r="B176" s="58"/>
      <c r="C176" s="49"/>
      <c r="D176" s="210"/>
      <c r="E176" s="217"/>
      <c r="F176" s="255"/>
      <c r="G176" s="255"/>
      <c r="H176" s="255"/>
      <c r="I176" s="255"/>
      <c r="J176" s="255"/>
      <c r="K176" s="255"/>
      <c r="L176" s="255"/>
      <c r="M176" s="255"/>
      <c r="N176" s="255"/>
      <c r="O176" s="255"/>
      <c r="P176" s="255"/>
      <c r="Q176" s="255"/>
      <c r="R176" s="255"/>
      <c r="S176" s="255"/>
      <c r="T176" s="255"/>
      <c r="U176" s="255"/>
      <c r="V176" s="255"/>
      <c r="W176" s="255"/>
      <c r="X176" s="255"/>
      <c r="Y176" s="255"/>
      <c r="Z176" s="255"/>
      <c r="AA176" s="255"/>
      <c r="AB176" s="255"/>
      <c r="AC176" s="268"/>
      <c r="AD176" s="346"/>
    </row>
    <row r="177" spans="1:30" s="110" customFormat="1" ht="12">
      <c r="A177" s="58"/>
      <c r="B177" s="58" t="s">
        <v>528</v>
      </c>
      <c r="C177" s="78" t="s">
        <v>581</v>
      </c>
      <c r="D177" s="210"/>
      <c r="E177" s="217"/>
      <c r="AC177" s="262"/>
      <c r="AD177" s="337"/>
    </row>
    <row r="178" spans="1:30" s="110" customFormat="1" ht="12">
      <c r="A178" s="58"/>
      <c r="B178" s="58"/>
      <c r="C178" s="78" t="s">
        <v>542</v>
      </c>
      <c r="D178" s="210">
        <f>'Mode Operating Assumptions'!$D$184</f>
        <v>8.6836127924972328E-9</v>
      </c>
      <c r="E178" s="217"/>
      <c r="F178" s="55">
        <f>$D178*F$23</f>
        <v>0</v>
      </c>
      <c r="G178" s="55">
        <f t="shared" ref="G178:AC178" si="54">$D178*G$23</f>
        <v>-8.5277106266956441E-4</v>
      </c>
      <c r="H178" s="55">
        <f t="shared" si="54"/>
        <v>-1.7246137090861937E-3</v>
      </c>
      <c r="I178" s="55">
        <f t="shared" si="54"/>
        <v>-1.7438812631165848E-3</v>
      </c>
      <c r="J178" s="55">
        <f t="shared" si="54"/>
        <v>-1.7633715961650623E-3</v>
      </c>
      <c r="K178" s="55">
        <f t="shared" si="54"/>
        <v>-1.7831151844012992E-3</v>
      </c>
      <c r="L178" s="55">
        <f t="shared" si="54"/>
        <v>-1.8031466731349823E-3</v>
      </c>
      <c r="M178" s="55">
        <f t="shared" si="54"/>
        <v>-1.8235054471541605E-3</v>
      </c>
      <c r="N178" s="55">
        <f t="shared" si="54"/>
        <v>-1.8320826496934211E-3</v>
      </c>
      <c r="O178" s="55">
        <f t="shared" si="54"/>
        <v>-1.8410828076676706E-3</v>
      </c>
      <c r="P178" s="55">
        <f t="shared" si="54"/>
        <v>-1.8505637813804156E-3</v>
      </c>
      <c r="Q178" s="55">
        <f t="shared" si="54"/>
        <v>-1.8605913464246823E-3</v>
      </c>
      <c r="R178" s="55">
        <f t="shared" si="54"/>
        <v>-1.8712402764946225E-3</v>
      </c>
      <c r="S178" s="55">
        <f t="shared" si="54"/>
        <v>-1.8825955743257486E-3</v>
      </c>
      <c r="T178" s="55">
        <f t="shared" si="54"/>
        <v>-1.8947538710277906E-3</v>
      </c>
      <c r="U178" s="55">
        <f t="shared" si="54"/>
        <v>-1.9078250168462901E-3</v>
      </c>
      <c r="V178" s="55">
        <f t="shared" si="54"/>
        <v>-1.9219338895403778E-3</v>
      </c>
      <c r="W178" s="55">
        <f t="shared" si="54"/>
        <v>-1.9372224501466358E-3</v>
      </c>
      <c r="X178" s="55">
        <f t="shared" si="54"/>
        <v>-1.9540201768885987E-3</v>
      </c>
      <c r="Y178" s="55">
        <f t="shared" si="54"/>
        <v>-1.9723424311182138E-3</v>
      </c>
      <c r="Z178" s="55">
        <f t="shared" si="54"/>
        <v>-1.9923977681957916E-3</v>
      </c>
      <c r="AA178" s="55">
        <f t="shared" si="54"/>
        <v>-2.0144232738549348E-3</v>
      </c>
      <c r="AB178" s="55">
        <f t="shared" si="54"/>
        <v>-2.0386884671575998E-3</v>
      </c>
      <c r="AC178" s="270">
        <f t="shared" si="54"/>
        <v>-2.0654997373734212E-3</v>
      </c>
      <c r="AD178" s="353">
        <f t="shared" si="30"/>
        <v>-4.233166845386406E-2</v>
      </c>
    </row>
    <row r="179" spans="1:30" s="110" customFormat="1" ht="12">
      <c r="A179" s="58"/>
      <c r="B179" s="58"/>
      <c r="C179" s="49" t="s">
        <v>40</v>
      </c>
      <c r="D179" s="308">
        <f>D167</f>
        <v>-6200000</v>
      </c>
      <c r="E179" s="217"/>
      <c r="F179" s="255">
        <f>F178*$D$179</f>
        <v>0</v>
      </c>
      <c r="G179" s="255">
        <f t="shared" ref="G179:AC179" si="55">G178*$D$179</f>
        <v>5287.1805885512995</v>
      </c>
      <c r="H179" s="255">
        <f t="shared" si="55"/>
        <v>10692.604996334401</v>
      </c>
      <c r="I179" s="255">
        <f t="shared" si="55"/>
        <v>10812.063831322826</v>
      </c>
      <c r="J179" s="255">
        <f t="shared" si="55"/>
        <v>10932.903896223386</v>
      </c>
      <c r="K179" s="255">
        <f t="shared" si="55"/>
        <v>11055.314143288055</v>
      </c>
      <c r="L179" s="255">
        <f t="shared" si="55"/>
        <v>11179.509373436889</v>
      </c>
      <c r="M179" s="255">
        <f t="shared" si="55"/>
        <v>11305.733772355796</v>
      </c>
      <c r="N179" s="255">
        <f t="shared" si="55"/>
        <v>11358.912428099211</v>
      </c>
      <c r="O179" s="255">
        <f t="shared" si="55"/>
        <v>11414.713407539557</v>
      </c>
      <c r="P179" s="255">
        <f t="shared" si="55"/>
        <v>11473.495444558577</v>
      </c>
      <c r="Q179" s="255">
        <f t="shared" si="55"/>
        <v>11535.66634783303</v>
      </c>
      <c r="R179" s="255">
        <f t="shared" si="55"/>
        <v>11601.689714266658</v>
      </c>
      <c r="S179" s="255">
        <f t="shared" si="55"/>
        <v>11672.092560819641</v>
      </c>
      <c r="T179" s="255">
        <f t="shared" si="55"/>
        <v>11747.474000372302</v>
      </c>
      <c r="U179" s="255">
        <f t="shared" si="55"/>
        <v>11828.515104446999</v>
      </c>
      <c r="V179" s="255">
        <f t="shared" si="55"/>
        <v>11915.990115150342</v>
      </c>
      <c r="W179" s="255">
        <f t="shared" si="55"/>
        <v>12010.779190909143</v>
      </c>
      <c r="X179" s="255">
        <f t="shared" si="55"/>
        <v>12114.925096709312</v>
      </c>
      <c r="Y179" s="255">
        <f t="shared" si="55"/>
        <v>12228.523072932925</v>
      </c>
      <c r="Z179" s="255">
        <f t="shared" si="55"/>
        <v>12352.866162813909</v>
      </c>
      <c r="AA179" s="255">
        <f t="shared" si="55"/>
        <v>12489.424297900596</v>
      </c>
      <c r="AB179" s="255">
        <f t="shared" si="55"/>
        <v>12639.868496377119</v>
      </c>
      <c r="AC179" s="268">
        <f t="shared" si="55"/>
        <v>12806.09837171521</v>
      </c>
      <c r="AD179" s="346">
        <f t="shared" ref="AD179:AD192" si="56">SUM(F179:AC179)</f>
        <v>262456.34441395721</v>
      </c>
    </row>
    <row r="180" spans="1:30" s="110" customFormat="1" ht="12">
      <c r="A180" s="58"/>
      <c r="B180" s="58"/>
      <c r="C180" s="78" t="s">
        <v>543</v>
      </c>
      <c r="D180" s="210">
        <f>'Mode Operating Assumptions'!$D$185</f>
        <v>8.1339537419145546E-7</v>
      </c>
      <c r="E180" s="217"/>
      <c r="F180" s="55">
        <f>$D180*F$23</f>
        <v>0</v>
      </c>
      <c r="G180" s="55">
        <f t="shared" ref="G180:AC180" si="57">$D180*G$23</f>
        <v>-7.9879199383356955E-2</v>
      </c>
      <c r="H180" s="55">
        <f t="shared" si="57"/>
        <v>-0.16154483701183817</v>
      </c>
      <c r="I180" s="55">
        <f t="shared" si="57"/>
        <v>-0.1633496318241823</v>
      </c>
      <c r="J180" s="55">
        <f t="shared" si="57"/>
        <v>-0.16517529438214204</v>
      </c>
      <c r="K180" s="55">
        <f t="shared" si="57"/>
        <v>-0.16702467939331753</v>
      </c>
      <c r="L180" s="55">
        <f t="shared" si="57"/>
        <v>-0.16890103208930873</v>
      </c>
      <c r="M180" s="55">
        <f t="shared" si="57"/>
        <v>-0.17080804164939833</v>
      </c>
      <c r="N180" s="55">
        <f t="shared" si="57"/>
        <v>-0.17161146955845547</v>
      </c>
      <c r="O180" s="55">
        <f t="shared" si="57"/>
        <v>-0.17245451576954079</v>
      </c>
      <c r="P180" s="55">
        <f t="shared" si="57"/>
        <v>-0.17334260006637181</v>
      </c>
      <c r="Q180" s="55">
        <f t="shared" si="57"/>
        <v>-0.17428188365907848</v>
      </c>
      <c r="R180" s="55">
        <f t="shared" si="57"/>
        <v>-0.17527937061133661</v>
      </c>
      <c r="S180" s="55">
        <f t="shared" si="57"/>
        <v>-0.17634302314273281</v>
      </c>
      <c r="T180" s="55">
        <f t="shared" si="57"/>
        <v>-0.17748189270449322</v>
      </c>
      <c r="U180" s="55">
        <f t="shared" si="57"/>
        <v>-0.17870626898637162</v>
      </c>
      <c r="V180" s="55">
        <f t="shared" si="57"/>
        <v>-0.18002784930768009</v>
      </c>
      <c r="W180" s="55">
        <f t="shared" si="57"/>
        <v>-0.18145993118101289</v>
      </c>
      <c r="X180" s="55">
        <f t="shared" si="57"/>
        <v>-0.18303337688331894</v>
      </c>
      <c r="Y180" s="55">
        <f t="shared" si="57"/>
        <v>-0.18474962531484798</v>
      </c>
      <c r="Z180" s="55">
        <f t="shared" si="57"/>
        <v>-0.18662821188895765</v>
      </c>
      <c r="AA180" s="55">
        <f t="shared" si="57"/>
        <v>-0.1886913444635531</v>
      </c>
      <c r="AB180" s="55">
        <f t="shared" si="57"/>
        <v>-0.19096426893150062</v>
      </c>
      <c r="AC180" s="270">
        <f t="shared" si="57"/>
        <v>-0.19347568482381086</v>
      </c>
      <c r="AD180" s="353">
        <f t="shared" si="56"/>
        <v>-3.9652140330266072</v>
      </c>
    </row>
    <row r="181" spans="1:30" s="110" customFormat="1" ht="12">
      <c r="A181" s="58"/>
      <c r="B181" s="58"/>
      <c r="C181" s="49" t="s">
        <v>41</v>
      </c>
      <c r="D181" s="308">
        <f>D169</f>
        <v>-291400</v>
      </c>
      <c r="E181" s="217"/>
      <c r="F181" s="255">
        <f>F180*$D$181</f>
        <v>0</v>
      </c>
      <c r="G181" s="255">
        <f t="shared" ref="G181:AC181" si="58">G180*$D$181</f>
        <v>23276.798700310217</v>
      </c>
      <c r="H181" s="255">
        <f t="shared" si="58"/>
        <v>47074.165505249643</v>
      </c>
      <c r="I181" s="255">
        <f t="shared" si="58"/>
        <v>47600.08271356672</v>
      </c>
      <c r="J181" s="255">
        <f t="shared" si="58"/>
        <v>48132.080782956189</v>
      </c>
      <c r="K181" s="255">
        <f t="shared" si="58"/>
        <v>48670.991575212727</v>
      </c>
      <c r="L181" s="255">
        <f t="shared" si="58"/>
        <v>49217.760750824564</v>
      </c>
      <c r="M181" s="255">
        <f t="shared" si="58"/>
        <v>49773.463336634675</v>
      </c>
      <c r="N181" s="255">
        <f t="shared" si="58"/>
        <v>50007.582229333922</v>
      </c>
      <c r="O181" s="255">
        <f t="shared" si="58"/>
        <v>50253.245895244188</v>
      </c>
      <c r="P181" s="255">
        <f t="shared" si="58"/>
        <v>50512.033659340748</v>
      </c>
      <c r="Q181" s="255">
        <f t="shared" si="58"/>
        <v>50785.74089825547</v>
      </c>
      <c r="R181" s="255">
        <f t="shared" si="58"/>
        <v>51076.40859614349</v>
      </c>
      <c r="S181" s="255">
        <f t="shared" si="58"/>
        <v>51386.356943792343</v>
      </c>
      <c r="T181" s="255">
        <f t="shared" si="58"/>
        <v>51718.223534089324</v>
      </c>
      <c r="U181" s="255">
        <f t="shared" si="58"/>
        <v>52075.00678262869</v>
      </c>
      <c r="V181" s="255">
        <f t="shared" si="58"/>
        <v>52460.115288257977</v>
      </c>
      <c r="W181" s="255">
        <f t="shared" si="58"/>
        <v>52877.423946147159</v>
      </c>
      <c r="X181" s="255">
        <f t="shared" si="58"/>
        <v>53335.92602379914</v>
      </c>
      <c r="Y181" s="255">
        <f t="shared" si="58"/>
        <v>53836.040816746703</v>
      </c>
      <c r="Z181" s="255">
        <f t="shared" si="58"/>
        <v>54383.46094444226</v>
      </c>
      <c r="AA181" s="255">
        <f t="shared" si="58"/>
        <v>54984.657776679371</v>
      </c>
      <c r="AB181" s="255">
        <f t="shared" si="58"/>
        <v>55646.987966639281</v>
      </c>
      <c r="AC181" s="268">
        <f t="shared" si="58"/>
        <v>56378.814557658487</v>
      </c>
      <c r="AD181" s="346">
        <f t="shared" si="56"/>
        <v>1155463.3692239532</v>
      </c>
    </row>
    <row r="182" spans="1:30" s="110" customFormat="1" ht="12">
      <c r="A182" s="58"/>
      <c r="B182" s="58"/>
      <c r="C182" s="78" t="s">
        <v>554</v>
      </c>
      <c r="D182" s="210">
        <f>'Mode Operating Assumptions'!$D$183</f>
        <v>1.8640215942009768E-6</v>
      </c>
      <c r="E182" s="217"/>
      <c r="F182" s="55">
        <f>$D182*F$23</f>
        <v>0</v>
      </c>
      <c r="G182" s="55">
        <f t="shared" ref="G182:AC182" si="59">$D182*G$23</f>
        <v>-0.18305556842645102</v>
      </c>
      <c r="H182" s="55">
        <f t="shared" si="59"/>
        <v>-0.37020503702897356</v>
      </c>
      <c r="I182" s="55">
        <f t="shared" si="59"/>
        <v>-0.3743410041245025</v>
      </c>
      <c r="J182" s="55">
        <f t="shared" si="59"/>
        <v>-0.37852479289407104</v>
      </c>
      <c r="K182" s="55">
        <f t="shared" si="59"/>
        <v>-0.38276294534268729</v>
      </c>
      <c r="L182" s="55">
        <f t="shared" si="59"/>
        <v>-0.38706289842164543</v>
      </c>
      <c r="M182" s="55">
        <f t="shared" si="59"/>
        <v>-0.39143310645717583</v>
      </c>
      <c r="N182" s="55">
        <f t="shared" si="59"/>
        <v>-0.39327428605984432</v>
      </c>
      <c r="O182" s="55">
        <f t="shared" si="59"/>
        <v>-0.39520625714332197</v>
      </c>
      <c r="P182" s="55">
        <f t="shared" si="59"/>
        <v>-0.39724143998218348</v>
      </c>
      <c r="Q182" s="55">
        <f t="shared" si="59"/>
        <v>-0.39939395394456534</v>
      </c>
      <c r="R182" s="55">
        <f t="shared" si="59"/>
        <v>-0.40167984992816508</v>
      </c>
      <c r="S182" s="55">
        <f t="shared" si="59"/>
        <v>-0.40411737459348529</v>
      </c>
      <c r="T182" s="55">
        <f t="shared" si="59"/>
        <v>-0.40672727074418547</v>
      </c>
      <c r="U182" s="55">
        <f t="shared" si="59"/>
        <v>-0.40953311879946547</v>
      </c>
      <c r="V182" s="55">
        <f t="shared" si="59"/>
        <v>-0.4125617249798717</v>
      </c>
      <c r="W182" s="55">
        <f t="shared" si="59"/>
        <v>-0.4158435625969219</v>
      </c>
      <c r="X182" s="55">
        <f t="shared" si="59"/>
        <v>-0.41944935734257877</v>
      </c>
      <c r="Y182" s="55">
        <f t="shared" si="59"/>
        <v>-0.42338240667982607</v>
      </c>
      <c r="Z182" s="55">
        <f t="shared" si="59"/>
        <v>-0.42768747903679305</v>
      </c>
      <c r="AA182" s="55">
        <f t="shared" si="59"/>
        <v>-0.43241546716257767</v>
      </c>
      <c r="AB182" s="55">
        <f t="shared" si="59"/>
        <v>-0.43762422593435396</v>
      </c>
      <c r="AC182" s="270">
        <f t="shared" si="59"/>
        <v>-0.44337952477649356</v>
      </c>
      <c r="AD182" s="353">
        <f t="shared" si="56"/>
        <v>-9.0869026524001377</v>
      </c>
    </row>
    <row r="183" spans="1:30" s="110" customFormat="1" ht="12">
      <c r="A183" s="58"/>
      <c r="B183" s="58"/>
      <c r="C183" s="49" t="s">
        <v>530</v>
      </c>
      <c r="D183" s="308">
        <f>-'Mode Operating Assumptions'!C172</f>
        <v>-3285</v>
      </c>
      <c r="E183" s="217"/>
      <c r="F183" s="255">
        <f>F182*$D$183</f>
        <v>0</v>
      </c>
      <c r="G183" s="255">
        <f t="shared" ref="G183:AC183" si="60">G182*$D$183</f>
        <v>601.33754228089163</v>
      </c>
      <c r="H183" s="255">
        <f t="shared" si="60"/>
        <v>1216.1235466401781</v>
      </c>
      <c r="I183" s="255">
        <f t="shared" si="60"/>
        <v>1229.7101985489908</v>
      </c>
      <c r="J183" s="255">
        <f t="shared" si="60"/>
        <v>1243.4539446570234</v>
      </c>
      <c r="K183" s="255">
        <f t="shared" si="60"/>
        <v>1257.3762754507277</v>
      </c>
      <c r="L183" s="255">
        <f t="shared" si="60"/>
        <v>1271.5016213151052</v>
      </c>
      <c r="M183" s="255">
        <f t="shared" si="60"/>
        <v>1285.8577547118225</v>
      </c>
      <c r="N183" s="255">
        <f t="shared" si="60"/>
        <v>1291.9060297065887</v>
      </c>
      <c r="O183" s="255">
        <f t="shared" si="60"/>
        <v>1298.2525547158127</v>
      </c>
      <c r="P183" s="255">
        <f t="shared" si="60"/>
        <v>1304.9381303414727</v>
      </c>
      <c r="Q183" s="255">
        <f t="shared" si="60"/>
        <v>1312.0091387078971</v>
      </c>
      <c r="R183" s="255">
        <f t="shared" si="60"/>
        <v>1319.5183070140222</v>
      </c>
      <c r="S183" s="255">
        <f t="shared" si="60"/>
        <v>1327.5255755395992</v>
      </c>
      <c r="T183" s="255">
        <f t="shared" si="60"/>
        <v>1336.0990843946493</v>
      </c>
      <c r="U183" s="255">
        <f t="shared" si="60"/>
        <v>1345.3162952562441</v>
      </c>
      <c r="V183" s="255">
        <f t="shared" si="60"/>
        <v>1355.2652665588785</v>
      </c>
      <c r="W183" s="255">
        <f t="shared" si="60"/>
        <v>1366.0461031308885</v>
      </c>
      <c r="X183" s="255">
        <f t="shared" si="60"/>
        <v>1377.8911388703712</v>
      </c>
      <c r="Y183" s="255">
        <f t="shared" si="60"/>
        <v>1390.8112059432287</v>
      </c>
      <c r="Z183" s="255">
        <f t="shared" si="60"/>
        <v>1404.9533686358652</v>
      </c>
      <c r="AA183" s="255">
        <f t="shared" si="60"/>
        <v>1420.4848096290677</v>
      </c>
      <c r="AB183" s="255">
        <f t="shared" si="60"/>
        <v>1437.5955821943528</v>
      </c>
      <c r="AC183" s="268">
        <f t="shared" si="60"/>
        <v>1456.5017388907813</v>
      </c>
      <c r="AD183" s="346">
        <f t="shared" si="56"/>
        <v>29850.475213134458</v>
      </c>
    </row>
    <row r="184" spans="1:30" s="110" customFormat="1" ht="12">
      <c r="A184" s="58"/>
      <c r="B184" s="58"/>
      <c r="D184" s="308"/>
      <c r="E184" s="217"/>
      <c r="F184" s="255"/>
      <c r="G184" s="255"/>
      <c r="H184" s="255"/>
      <c r="I184" s="255"/>
      <c r="J184" s="255"/>
      <c r="K184" s="255"/>
      <c r="L184" s="255"/>
      <c r="M184" s="255"/>
      <c r="N184" s="255"/>
      <c r="O184" s="255"/>
      <c r="P184" s="255"/>
      <c r="Q184" s="255"/>
      <c r="R184" s="255"/>
      <c r="S184" s="255"/>
      <c r="T184" s="255"/>
      <c r="U184" s="255"/>
      <c r="V184" s="255"/>
      <c r="W184" s="255"/>
      <c r="X184" s="255"/>
      <c r="Y184" s="255"/>
      <c r="Z184" s="255"/>
      <c r="AA184" s="255"/>
      <c r="AB184" s="255"/>
      <c r="AC184" s="268"/>
      <c r="AD184" s="346"/>
    </row>
    <row r="185" spans="1:30" s="5" customFormat="1" ht="12">
      <c r="A185" s="58"/>
      <c r="B185" s="58"/>
      <c r="C185" s="295" t="s">
        <v>520</v>
      </c>
      <c r="D185" s="212"/>
      <c r="E185" s="220"/>
      <c r="F185" s="289">
        <f>F173+F175+F154+F156+F160+F162+F167+F169+F179+F181+F183</f>
        <v>0</v>
      </c>
      <c r="G185" s="289">
        <f t="shared" ref="G185:AC185" si="61">G173+G175+G154+G156+G160+G162+G167+G169+G179+G181+G183</f>
        <v>139342.7308756354</v>
      </c>
      <c r="H185" s="289">
        <f t="shared" si="61"/>
        <v>279825.12390472856</v>
      </c>
      <c r="I185" s="289">
        <f t="shared" si="61"/>
        <v>280704.14167632698</v>
      </c>
      <c r="J185" s="289">
        <f t="shared" si="61"/>
        <v>281286.85891462769</v>
      </c>
      <c r="K185" s="289">
        <f t="shared" si="61"/>
        <v>281532.74170667568</v>
      </c>
      <c r="L185" s="289">
        <f t="shared" si="61"/>
        <v>281395.71110022324</v>
      </c>
      <c r="M185" s="289">
        <f t="shared" si="61"/>
        <v>280823.38454235566</v>
      </c>
      <c r="N185" s="289">
        <f t="shared" si="61"/>
        <v>277658.1823068434</v>
      </c>
      <c r="O185" s="289">
        <f t="shared" si="61"/>
        <v>273930.44091470313</v>
      </c>
      <c r="P185" s="289">
        <f t="shared" si="61"/>
        <v>269563.20500930795</v>
      </c>
      <c r="Q185" s="289">
        <f t="shared" si="61"/>
        <v>264468.99174124486</v>
      </c>
      <c r="R185" s="289">
        <f t="shared" si="61"/>
        <v>258548.35060730053</v>
      </c>
      <c r="S185" s="289">
        <f t="shared" si="61"/>
        <v>251688.2262754229</v>
      </c>
      <c r="T185" s="289">
        <f t="shared" si="61"/>
        <v>243760.09744413418</v>
      </c>
      <c r="U185" s="289">
        <f t="shared" si="61"/>
        <v>234617.86109791524</v>
      </c>
      <c r="V185" s="289">
        <f t="shared" si="61"/>
        <v>224095.42732872348</v>
      </c>
      <c r="W185" s="289">
        <f t="shared" si="61"/>
        <v>212003.98512909652</v>
      </c>
      <c r="X185" s="289">
        <f t="shared" si="61"/>
        <v>198157.91202774717</v>
      </c>
      <c r="Y185" s="289">
        <f t="shared" si="61"/>
        <v>182284.18698906616</v>
      </c>
      <c r="Z185" s="289">
        <f t="shared" si="61"/>
        <v>164105.4272280265</v>
      </c>
      <c r="AA185" s="289">
        <f t="shared" si="61"/>
        <v>143306.30399460928</v>
      </c>
      <c r="AB185" s="289">
        <f t="shared" si="61"/>
        <v>119528.35156579356</v>
      </c>
      <c r="AC185" s="289">
        <f t="shared" si="61"/>
        <v>92364.066107648759</v>
      </c>
      <c r="AD185" s="355">
        <f t="shared" si="56"/>
        <v>5234991.7084881552</v>
      </c>
    </row>
    <row r="186" spans="1:30" s="110" customFormat="1" ht="12">
      <c r="A186" s="107"/>
      <c r="B186" s="58"/>
      <c r="C186" s="108"/>
      <c r="D186" s="208"/>
      <c r="E186" s="216"/>
      <c r="F186" s="109"/>
      <c r="G186" s="109"/>
      <c r="H186" s="109"/>
      <c r="I186" s="109"/>
      <c r="J186" s="109"/>
      <c r="K186" s="109"/>
      <c r="L186" s="109"/>
      <c r="M186" s="109"/>
      <c r="N186" s="109"/>
      <c r="O186" s="109"/>
      <c r="P186" s="109"/>
      <c r="Q186" s="109"/>
      <c r="R186" s="109"/>
      <c r="S186" s="109"/>
      <c r="T186" s="109"/>
      <c r="U186" s="109"/>
      <c r="V186" s="109"/>
      <c r="W186" s="109"/>
      <c r="X186" s="109"/>
      <c r="Y186" s="109"/>
      <c r="Z186" s="109"/>
      <c r="AC186" s="262"/>
      <c r="AD186" s="337"/>
    </row>
    <row r="187" spans="1:30" s="93" customFormat="1" ht="12">
      <c r="A187" s="93" t="s">
        <v>347</v>
      </c>
      <c r="B187" s="58"/>
      <c r="D187" s="211"/>
      <c r="E187" s="222"/>
      <c r="H187" s="92"/>
      <c r="I187" s="92"/>
      <c r="J187" s="92"/>
      <c r="K187" s="92"/>
      <c r="L187" s="92"/>
      <c r="M187" s="92"/>
      <c r="N187" s="92"/>
      <c r="O187" s="92"/>
      <c r="P187" s="92"/>
      <c r="Q187" s="92"/>
      <c r="R187" s="92"/>
      <c r="S187" s="92"/>
      <c r="T187" s="92"/>
      <c r="U187" s="92"/>
      <c r="V187" s="92"/>
      <c r="W187" s="92"/>
      <c r="X187" s="92"/>
      <c r="Y187" s="92"/>
      <c r="AC187" s="273"/>
      <c r="AD187" s="361"/>
    </row>
    <row r="188" spans="1:30" s="110" customFormat="1" ht="12">
      <c r="A188" s="91"/>
      <c r="B188" s="58"/>
      <c r="C188" s="291" t="s">
        <v>502</v>
      </c>
      <c r="D188" s="211"/>
      <c r="E188" s="290">
        <f>SUM(F188:AC188)</f>
        <v>10950235.167474229</v>
      </c>
      <c r="F188" s="255">
        <f t="shared" ref="F188:AC188" si="62">F5+F6+F45+F57+F64+F71+F84+F91+F109+F122+F185+F125+F142+F147</f>
        <v>0</v>
      </c>
      <c r="G188" s="255">
        <f t="shared" si="62"/>
        <v>-1451461.5353499979</v>
      </c>
      <c r="H188" s="255">
        <f t="shared" si="62"/>
        <v>-1736820.1292078062</v>
      </c>
      <c r="I188" s="255">
        <f t="shared" si="62"/>
        <v>703140.31648630474</v>
      </c>
      <c r="J188" s="255">
        <f t="shared" si="62"/>
        <v>705703.47847492585</v>
      </c>
      <c r="K188" s="255">
        <f t="shared" si="62"/>
        <v>707889.64118459309</v>
      </c>
      <c r="L188" s="255">
        <f t="shared" si="62"/>
        <v>709689.85071550682</v>
      </c>
      <c r="M188" s="255">
        <f t="shared" si="62"/>
        <v>711054.54629551573</v>
      </c>
      <c r="N188" s="255">
        <f t="shared" si="62"/>
        <v>707086.31099067046</v>
      </c>
      <c r="O188" s="255">
        <f t="shared" si="62"/>
        <v>703216.04198862566</v>
      </c>
      <c r="P188" s="255">
        <f t="shared" si="62"/>
        <v>701078.09993525723</v>
      </c>
      <c r="Q188" s="255">
        <f t="shared" si="62"/>
        <v>698320.44851439004</v>
      </c>
      <c r="R188" s="255">
        <f t="shared" si="62"/>
        <v>694875.64166720724</v>
      </c>
      <c r="S188" s="255">
        <f t="shared" si="62"/>
        <v>690631.70541287214</v>
      </c>
      <c r="T188" s="255">
        <f t="shared" si="62"/>
        <v>685496.39074700756</v>
      </c>
      <c r="U188" s="255">
        <f t="shared" si="62"/>
        <v>679330.04713243176</v>
      </c>
      <c r="V188" s="255">
        <f t="shared" si="62"/>
        <v>672008.46717538009</v>
      </c>
      <c r="W188" s="255">
        <f t="shared" si="62"/>
        <v>663356.15441170277</v>
      </c>
      <c r="X188" s="255">
        <f t="shared" si="62"/>
        <v>653268.44103119767</v>
      </c>
      <c r="Y188" s="255">
        <f t="shared" si="62"/>
        <v>641479.03203104506</v>
      </c>
      <c r="Z188" s="255">
        <f t="shared" si="62"/>
        <v>628324.10824446008</v>
      </c>
      <c r="AA188" s="255">
        <f t="shared" si="62"/>
        <v>612980.90855135897</v>
      </c>
      <c r="AB188" s="255">
        <f t="shared" si="62"/>
        <v>595132.8433961788</v>
      </c>
      <c r="AC188" s="255">
        <f t="shared" si="62"/>
        <v>574454.35764540045</v>
      </c>
      <c r="AD188" s="346">
        <f t="shared" si="56"/>
        <v>10950235.167474229</v>
      </c>
    </row>
    <row r="189" spans="1:30" s="93" customFormat="1" ht="12">
      <c r="A189" s="91"/>
      <c r="B189" s="58"/>
      <c r="C189" s="70" t="s">
        <v>180</v>
      </c>
      <c r="D189" s="211"/>
      <c r="E189" s="218"/>
      <c r="F189" s="106">
        <f>1/1.03</f>
        <v>0.970873786407767</v>
      </c>
      <c r="G189" s="106">
        <f>F189/1.03</f>
        <v>0.94259590913375435</v>
      </c>
      <c r="H189" s="106">
        <f t="shared" ref="H189:AC189" si="63">G189/1.03</f>
        <v>0.9151416593531595</v>
      </c>
      <c r="I189" s="106">
        <f t="shared" si="63"/>
        <v>0.88848704791568878</v>
      </c>
      <c r="J189" s="106">
        <f t="shared" si="63"/>
        <v>0.86260878438416388</v>
      </c>
      <c r="K189" s="106">
        <f t="shared" si="63"/>
        <v>0.83748425668365423</v>
      </c>
      <c r="L189" s="106">
        <f t="shared" si="63"/>
        <v>0.81309151134335356</v>
      </c>
      <c r="M189" s="106">
        <f t="shared" si="63"/>
        <v>0.7894092343139355</v>
      </c>
      <c r="N189" s="106">
        <f t="shared" si="63"/>
        <v>0.76641673234362673</v>
      </c>
      <c r="O189" s="106">
        <f t="shared" si="63"/>
        <v>0.74409391489672494</v>
      </c>
      <c r="P189" s="106">
        <f t="shared" si="63"/>
        <v>0.7224212765987621</v>
      </c>
      <c r="Q189" s="106">
        <f t="shared" si="63"/>
        <v>0.70137988019297293</v>
      </c>
      <c r="R189" s="106">
        <f t="shared" si="63"/>
        <v>0.68095133999317758</v>
      </c>
      <c r="S189" s="106">
        <f t="shared" si="63"/>
        <v>0.66111780581861901</v>
      </c>
      <c r="T189" s="106">
        <f t="shared" si="63"/>
        <v>0.64186194739671742</v>
      </c>
      <c r="U189" s="106">
        <f t="shared" si="63"/>
        <v>0.62316693922011401</v>
      </c>
      <c r="V189" s="106">
        <f t="shared" si="63"/>
        <v>0.60501644584477088</v>
      </c>
      <c r="W189" s="106">
        <f t="shared" si="63"/>
        <v>0.58739460761628237</v>
      </c>
      <c r="X189" s="106">
        <f t="shared" si="63"/>
        <v>0.57028602681192464</v>
      </c>
      <c r="Y189" s="106">
        <f t="shared" si="63"/>
        <v>0.55367575418633463</v>
      </c>
      <c r="Z189" s="106">
        <f t="shared" si="63"/>
        <v>0.53754927590906276</v>
      </c>
      <c r="AA189" s="106">
        <f t="shared" si="63"/>
        <v>0.52189250088258521</v>
      </c>
      <c r="AB189" s="106">
        <f t="shared" si="63"/>
        <v>0.50669174842969433</v>
      </c>
      <c r="AC189" s="274">
        <f t="shared" si="63"/>
        <v>0.49193373633950904</v>
      </c>
      <c r="AD189" s="362"/>
    </row>
    <row r="190" spans="1:30" s="110" customFormat="1" ht="12">
      <c r="A190" s="107"/>
      <c r="B190" s="58"/>
      <c r="C190" s="108" t="s">
        <v>178</v>
      </c>
      <c r="D190" s="208"/>
      <c r="E190" s="216">
        <f>SUM(F190:AC190)</f>
        <v>6627396.8103097277</v>
      </c>
      <c r="F190" s="109">
        <f>F188*F189</f>
        <v>0</v>
      </c>
      <c r="G190" s="109">
        <f t="shared" ref="G190:AC190" si="64">G188*G189</f>
        <v>-1368141.7054859062</v>
      </c>
      <c r="H190" s="109">
        <f t="shared" si="64"/>
        <v>-1589436.4550412006</v>
      </c>
      <c r="I190" s="109">
        <f t="shared" si="64"/>
        <v>624731.06406542007</v>
      </c>
      <c r="J190" s="109">
        <f t="shared" si="64"/>
        <v>608746.01970293175</v>
      </c>
      <c r="K190" s="109">
        <f t="shared" si="64"/>
        <v>592846.42996153759</v>
      </c>
      <c r="L190" s="109">
        <f t="shared" si="64"/>
        <v>577042.79330331041</v>
      </c>
      <c r="M190" s="109">
        <f t="shared" si="64"/>
        <v>561313.02494658588</v>
      </c>
      <c r="N190" s="109">
        <f t="shared" si="64"/>
        <v>541922.77995437908</v>
      </c>
      <c r="O190" s="109">
        <f t="shared" si="64"/>
        <v>523258.77770149615</v>
      </c>
      <c r="P190" s="109">
        <f t="shared" si="64"/>
        <v>506473.73595066305</v>
      </c>
      <c r="Q190" s="109">
        <f t="shared" si="64"/>
        <v>489787.912515326</v>
      </c>
      <c r="R190" s="109">
        <f t="shared" si="64"/>
        <v>473176.49932190386</v>
      </c>
      <c r="S190" s="109">
        <f t="shared" si="64"/>
        <v>456588.91771132889</v>
      </c>
      <c r="T190" s="109">
        <f t="shared" si="64"/>
        <v>439994.04829829541</v>
      </c>
      <c r="U190" s="109">
        <f t="shared" si="64"/>
        <v>423336.0261917733</v>
      </c>
      <c r="V190" s="109">
        <f t="shared" si="64"/>
        <v>406576.17438804085</v>
      </c>
      <c r="W190" s="109">
        <f t="shared" si="64"/>
        <v>389651.82803050819</v>
      </c>
      <c r="X190" s="109">
        <f t="shared" si="64"/>
        <v>372549.86367730179</v>
      </c>
      <c r="Y190" s="109">
        <f t="shared" si="64"/>
        <v>355171.38685450878</v>
      </c>
      <c r="Z190" s="109">
        <f t="shared" si="64"/>
        <v>337755.16942301707</v>
      </c>
      <c r="AA190" s="109">
        <f t="shared" si="64"/>
        <v>319910.13935714797</v>
      </c>
      <c r="AB190" s="109">
        <f t="shared" si="64"/>
        <v>301548.90096834529</v>
      </c>
      <c r="AC190" s="392">
        <f t="shared" si="64"/>
        <v>282593.47851301444</v>
      </c>
      <c r="AD190" s="363">
        <f t="shared" si="56"/>
        <v>6627396.8103097277</v>
      </c>
    </row>
    <row r="191" spans="1:30" s="110" customFormat="1" ht="12">
      <c r="A191" s="91"/>
      <c r="B191" s="58"/>
      <c r="C191" s="70" t="s">
        <v>181</v>
      </c>
      <c r="D191" s="211"/>
      <c r="E191" s="218"/>
      <c r="F191" s="106">
        <f>1/1.07</f>
        <v>0.93457943925233644</v>
      </c>
      <c r="G191" s="106">
        <f>F191/1.07</f>
        <v>0.87343872827321156</v>
      </c>
      <c r="H191" s="106">
        <f t="shared" ref="H191:AC191" si="65">G191/1.07</f>
        <v>0.81629787689085187</v>
      </c>
      <c r="I191" s="106">
        <f t="shared" si="65"/>
        <v>0.76289521204752508</v>
      </c>
      <c r="J191" s="106">
        <f t="shared" si="65"/>
        <v>0.71298617948366827</v>
      </c>
      <c r="K191" s="106">
        <f t="shared" si="65"/>
        <v>0.66634222381651231</v>
      </c>
      <c r="L191" s="106">
        <f t="shared" si="65"/>
        <v>0.62274974188459087</v>
      </c>
      <c r="M191" s="106">
        <f t="shared" si="65"/>
        <v>0.58200910456503818</v>
      </c>
      <c r="N191" s="106">
        <f t="shared" si="65"/>
        <v>0.54393374258414784</v>
      </c>
      <c r="O191" s="106">
        <f t="shared" si="65"/>
        <v>0.50834929213471758</v>
      </c>
      <c r="P191" s="106">
        <f t="shared" si="65"/>
        <v>0.4750927963875865</v>
      </c>
      <c r="Q191" s="106">
        <f t="shared" si="65"/>
        <v>0.444011959240735</v>
      </c>
      <c r="R191" s="106">
        <f t="shared" si="65"/>
        <v>0.41496444788853737</v>
      </c>
      <c r="S191" s="106">
        <f t="shared" si="65"/>
        <v>0.38781724101732462</v>
      </c>
      <c r="T191" s="106">
        <f t="shared" si="65"/>
        <v>0.36244601964235945</v>
      </c>
      <c r="U191" s="106">
        <f t="shared" si="65"/>
        <v>0.33873459779659759</v>
      </c>
      <c r="V191" s="106">
        <f t="shared" si="65"/>
        <v>0.3165743904641099</v>
      </c>
      <c r="W191" s="106">
        <f t="shared" si="65"/>
        <v>0.29586391632159803</v>
      </c>
      <c r="X191" s="106">
        <f t="shared" si="65"/>
        <v>0.27650833301083927</v>
      </c>
      <c r="Y191" s="106">
        <f t="shared" si="65"/>
        <v>0.25841900281386848</v>
      </c>
      <c r="Z191" s="106">
        <f t="shared" si="65"/>
        <v>0.24151308674193314</v>
      </c>
      <c r="AA191" s="106">
        <f t="shared" si="65"/>
        <v>0.22571316517937676</v>
      </c>
      <c r="AB191" s="106">
        <f t="shared" si="65"/>
        <v>0.21094688334521192</v>
      </c>
      <c r="AC191" s="274">
        <f t="shared" si="65"/>
        <v>0.19714661994879618</v>
      </c>
      <c r="AD191" s="362"/>
    </row>
    <row r="192" spans="1:30" s="110" customFormat="1" ht="12">
      <c r="A192" s="107"/>
      <c r="B192" s="58"/>
      <c r="C192" s="108" t="s">
        <v>179</v>
      </c>
      <c r="D192" s="208"/>
      <c r="E192" s="216">
        <f>SUM(F192:AC192)</f>
        <v>3385840.7887622342</v>
      </c>
      <c r="F192" s="109">
        <f>F188*F191</f>
        <v>0</v>
      </c>
      <c r="G192" s="109">
        <f t="shared" ref="G192:AC192" si="66">G188*G191</f>
        <v>-1267762.7175735852</v>
      </c>
      <c r="H192" s="109">
        <f t="shared" si="66"/>
        <v>-1417762.5840136271</v>
      </c>
      <c r="I192" s="109">
        <f t="shared" si="66"/>
        <v>536422.38084498339</v>
      </c>
      <c r="J192" s="109">
        <f t="shared" si="66"/>
        <v>503156.82696617249</v>
      </c>
      <c r="K192" s="109">
        <f t="shared" si="66"/>
        <v>471696.75772361469</v>
      </c>
      <c r="L192" s="109">
        <f t="shared" si="66"/>
        <v>441959.17135119572</v>
      </c>
      <c r="M192" s="109">
        <f t="shared" si="66"/>
        <v>413840.21978635259</v>
      </c>
      <c r="N192" s="109">
        <f t="shared" si="66"/>
        <v>384608.10346717405</v>
      </c>
      <c r="O192" s="109">
        <f t="shared" si="66"/>
        <v>357479.37716269569</v>
      </c>
      <c r="P192" s="109">
        <f t="shared" si="66"/>
        <v>333077.15498433716</v>
      </c>
      <c r="Q192" s="109">
        <f t="shared" si="66"/>
        <v>310062.63052274316</v>
      </c>
      <c r="R192" s="109">
        <f t="shared" si="66"/>
        <v>288348.68699562579</v>
      </c>
      <c r="S192" s="109">
        <f t="shared" si="66"/>
        <v>267838.88255230978</v>
      </c>
      <c r="T192" s="109">
        <f t="shared" si="66"/>
        <v>248455.43830545642</v>
      </c>
      <c r="U192" s="109">
        <f t="shared" si="66"/>
        <v>230112.59028654796</v>
      </c>
      <c r="V192" s="109">
        <f t="shared" si="66"/>
        <v>212740.67088276675</v>
      </c>
      <c r="W192" s="109">
        <f t="shared" si="66"/>
        <v>196263.14976028109</v>
      </c>
      <c r="X192" s="109">
        <f t="shared" si="66"/>
        <v>180634.16763812621</v>
      </c>
      <c r="Y192" s="109">
        <f t="shared" si="66"/>
        <v>165770.37178346826</v>
      </c>
      <c r="Z192" s="109">
        <f t="shared" si="66"/>
        <v>151748.49485649206</v>
      </c>
      <c r="AA192" s="109">
        <f t="shared" si="66"/>
        <v>138357.86106365733</v>
      </c>
      <c r="AB192" s="109">
        <f t="shared" si="66"/>
        <v>125541.41849079799</v>
      </c>
      <c r="AC192" s="392">
        <f t="shared" si="66"/>
        <v>113251.73492464759</v>
      </c>
      <c r="AD192" s="363">
        <f t="shared" si="56"/>
        <v>3385840.7887622342</v>
      </c>
    </row>
    <row r="193" spans="1:53" s="53" customFormat="1" ht="12">
      <c r="A193" s="107"/>
      <c r="B193" s="58"/>
      <c r="C193" s="108"/>
      <c r="D193" s="208"/>
      <c r="E193" s="216"/>
      <c r="F193" s="109"/>
      <c r="G193" s="109"/>
      <c r="AC193" s="263"/>
      <c r="AD193" s="338"/>
    </row>
    <row r="194" spans="1:53" s="53" customFormat="1" ht="12">
      <c r="A194" s="45"/>
      <c r="B194" s="58"/>
      <c r="C194" s="282" t="s">
        <v>185</v>
      </c>
      <c r="D194" s="213"/>
      <c r="E194" s="303">
        <f>IRR(F188:AC188)</f>
        <v>0.19665394923224719</v>
      </c>
      <c r="F194" s="45"/>
      <c r="G194" s="57"/>
      <c r="AC194" s="263"/>
      <c r="AD194" s="338"/>
    </row>
    <row r="195" spans="1:53" s="113" customFormat="1" ht="12">
      <c r="A195" s="111"/>
      <c r="B195" s="58"/>
      <c r="C195" s="115"/>
      <c r="D195" s="117"/>
      <c r="E195" s="111"/>
      <c r="F195" s="112"/>
      <c r="G195" s="112"/>
      <c r="H195" s="112"/>
      <c r="I195" s="112"/>
      <c r="J195" s="112"/>
      <c r="K195" s="112"/>
      <c r="L195" s="112"/>
      <c r="M195" s="112"/>
      <c r="N195" s="112"/>
      <c r="O195" s="112"/>
      <c r="P195" s="112"/>
      <c r="Q195" s="112"/>
      <c r="R195" s="112"/>
      <c r="S195" s="112"/>
      <c r="T195" s="112"/>
      <c r="U195" s="112"/>
      <c r="V195" s="112"/>
      <c r="W195" s="112"/>
      <c r="X195" s="112"/>
      <c r="Y195" s="112"/>
      <c r="AC195" s="275"/>
      <c r="AD195" s="364"/>
    </row>
    <row r="196" spans="1:53">
      <c r="A196" s="25"/>
      <c r="B196" s="25"/>
      <c r="C196" s="52"/>
      <c r="D196" s="42"/>
      <c r="E196" s="42"/>
      <c r="F196" s="42"/>
    </row>
    <row r="197" spans="1:53">
      <c r="A197" s="25"/>
      <c r="B197" s="25"/>
      <c r="C197" s="52"/>
      <c r="D197" s="42"/>
      <c r="E197" s="42"/>
      <c r="F197" s="42"/>
    </row>
    <row r="198" spans="1:53" ht="15.75">
      <c r="A198" s="25"/>
      <c r="B198" s="25"/>
      <c r="C198" s="401" t="s">
        <v>1</v>
      </c>
      <c r="D198" s="418">
        <f>SUM(D199:D202)</f>
        <v>8167.0295210617978</v>
      </c>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row>
    <row r="199" spans="1:53" ht="15.75">
      <c r="A199" s="25"/>
      <c r="B199" s="25"/>
      <c r="C199" s="403" t="s">
        <v>196</v>
      </c>
      <c r="D199" s="416">
        <f>-SUM(F199:AC199)/1000</f>
        <v>4171.05</v>
      </c>
      <c r="F199" s="422">
        <f>F6</f>
        <v>0</v>
      </c>
      <c r="G199" s="422">
        <f t="shared" ref="G199:AC199" si="67">G6</f>
        <v>-1733836.4850000001</v>
      </c>
      <c r="H199" s="422">
        <f t="shared" si="67"/>
        <v>-2437213.5150000001</v>
      </c>
      <c r="I199" s="422">
        <f t="shared" si="67"/>
        <v>0</v>
      </c>
      <c r="J199" s="422">
        <f t="shared" si="67"/>
        <v>0</v>
      </c>
      <c r="K199" s="422">
        <f t="shared" si="67"/>
        <v>0</v>
      </c>
      <c r="L199" s="422">
        <f t="shared" si="67"/>
        <v>0</v>
      </c>
      <c r="M199" s="422">
        <f t="shared" si="67"/>
        <v>0</v>
      </c>
      <c r="N199" s="422">
        <f t="shared" si="67"/>
        <v>0</v>
      </c>
      <c r="O199" s="422">
        <f t="shared" si="67"/>
        <v>0</v>
      </c>
      <c r="P199" s="422">
        <f t="shared" si="67"/>
        <v>0</v>
      </c>
      <c r="Q199" s="422">
        <f t="shared" si="67"/>
        <v>0</v>
      </c>
      <c r="R199" s="422">
        <f t="shared" si="67"/>
        <v>0</v>
      </c>
      <c r="S199" s="422">
        <f t="shared" si="67"/>
        <v>0</v>
      </c>
      <c r="T199" s="422">
        <f t="shared" si="67"/>
        <v>0</v>
      </c>
      <c r="U199" s="422">
        <f t="shared" si="67"/>
        <v>0</v>
      </c>
      <c r="V199" s="422">
        <f t="shared" si="67"/>
        <v>0</v>
      </c>
      <c r="W199" s="422">
        <f t="shared" si="67"/>
        <v>0</v>
      </c>
      <c r="X199" s="422">
        <f t="shared" si="67"/>
        <v>0</v>
      </c>
      <c r="Y199" s="422">
        <f t="shared" si="67"/>
        <v>0</v>
      </c>
      <c r="Z199" s="422">
        <f t="shared" si="67"/>
        <v>0</v>
      </c>
      <c r="AA199" s="422">
        <f t="shared" si="67"/>
        <v>0</v>
      </c>
      <c r="AB199" s="422">
        <f t="shared" si="67"/>
        <v>0</v>
      </c>
      <c r="AC199" s="422">
        <f t="shared" si="67"/>
        <v>0</v>
      </c>
    </row>
    <row r="200" spans="1:53" ht="15.75">
      <c r="A200" s="25"/>
      <c r="B200" s="25"/>
      <c r="C200" s="403" t="s">
        <v>197</v>
      </c>
      <c r="D200" s="416">
        <f>-SUM(F200:AC200)/1000</f>
        <v>0</v>
      </c>
      <c r="E200" s="42"/>
      <c r="F200" s="422">
        <f>F5</f>
        <v>0</v>
      </c>
      <c r="G200" s="422">
        <f t="shared" ref="G200:AC200" si="68">G5</f>
        <v>0</v>
      </c>
      <c r="H200" s="422">
        <f t="shared" si="68"/>
        <v>0</v>
      </c>
      <c r="I200" s="422">
        <f t="shared" si="68"/>
        <v>0</v>
      </c>
      <c r="J200" s="422">
        <f t="shared" si="68"/>
        <v>0</v>
      </c>
      <c r="K200" s="422">
        <f t="shared" si="68"/>
        <v>0</v>
      </c>
      <c r="L200" s="422">
        <f t="shared" si="68"/>
        <v>0</v>
      </c>
      <c r="M200" s="422">
        <f t="shared" si="68"/>
        <v>0</v>
      </c>
      <c r="N200" s="422">
        <f t="shared" si="68"/>
        <v>0</v>
      </c>
      <c r="O200" s="422">
        <f t="shared" si="68"/>
        <v>0</v>
      </c>
      <c r="P200" s="422">
        <f t="shared" si="68"/>
        <v>0</v>
      </c>
      <c r="Q200" s="422">
        <f t="shared" si="68"/>
        <v>0</v>
      </c>
      <c r="R200" s="422">
        <f t="shared" si="68"/>
        <v>0</v>
      </c>
      <c r="S200" s="422">
        <f t="shared" si="68"/>
        <v>0</v>
      </c>
      <c r="T200" s="422">
        <f t="shared" si="68"/>
        <v>0</v>
      </c>
      <c r="U200" s="422">
        <f t="shared" si="68"/>
        <v>0</v>
      </c>
      <c r="V200" s="422">
        <f t="shared" si="68"/>
        <v>0</v>
      </c>
      <c r="W200" s="422">
        <f t="shared" si="68"/>
        <v>0</v>
      </c>
      <c r="X200" s="422">
        <f t="shared" si="68"/>
        <v>0</v>
      </c>
      <c r="Y200" s="422">
        <f t="shared" si="68"/>
        <v>0</v>
      </c>
      <c r="Z200" s="422">
        <f t="shared" si="68"/>
        <v>0</v>
      </c>
      <c r="AA200" s="422">
        <f t="shared" si="68"/>
        <v>0</v>
      </c>
      <c r="AB200" s="422">
        <f t="shared" si="68"/>
        <v>0</v>
      </c>
      <c r="AC200" s="422">
        <f t="shared" si="68"/>
        <v>0</v>
      </c>
    </row>
    <row r="201" spans="1:53" ht="15.75">
      <c r="A201" s="25"/>
      <c r="B201" s="25"/>
      <c r="C201" s="404" t="s">
        <v>546</v>
      </c>
      <c r="D201" s="416">
        <f>-SUM(F201:AC201)/1000</f>
        <v>48.781891070628376</v>
      </c>
      <c r="E201" s="42"/>
      <c r="F201" s="422">
        <f>F120</f>
        <v>0</v>
      </c>
      <c r="G201" s="422">
        <f t="shared" ref="G201:AC201" si="69">G120</f>
        <v>-48781.891070628379</v>
      </c>
      <c r="H201" s="422">
        <f t="shared" si="69"/>
        <v>0</v>
      </c>
      <c r="I201" s="422">
        <f t="shared" si="69"/>
        <v>0</v>
      </c>
      <c r="J201" s="422">
        <f t="shared" si="69"/>
        <v>0</v>
      </c>
      <c r="K201" s="422">
        <f t="shared" si="69"/>
        <v>0</v>
      </c>
      <c r="L201" s="422">
        <f t="shared" si="69"/>
        <v>0</v>
      </c>
      <c r="M201" s="422">
        <f t="shared" si="69"/>
        <v>0</v>
      </c>
      <c r="N201" s="422">
        <f t="shared" si="69"/>
        <v>0</v>
      </c>
      <c r="O201" s="422">
        <f t="shared" si="69"/>
        <v>0</v>
      </c>
      <c r="P201" s="422">
        <f t="shared" si="69"/>
        <v>0</v>
      </c>
      <c r="Q201" s="422">
        <f t="shared" si="69"/>
        <v>0</v>
      </c>
      <c r="R201" s="422">
        <f t="shared" si="69"/>
        <v>0</v>
      </c>
      <c r="S201" s="422">
        <f t="shared" si="69"/>
        <v>0</v>
      </c>
      <c r="T201" s="422">
        <f t="shared" si="69"/>
        <v>0</v>
      </c>
      <c r="U201" s="422">
        <f t="shared" si="69"/>
        <v>0</v>
      </c>
      <c r="V201" s="422">
        <f t="shared" si="69"/>
        <v>0</v>
      </c>
      <c r="W201" s="422">
        <f t="shared" si="69"/>
        <v>0</v>
      </c>
      <c r="X201" s="422">
        <f t="shared" si="69"/>
        <v>0</v>
      </c>
      <c r="Y201" s="422">
        <f t="shared" si="69"/>
        <v>0</v>
      </c>
      <c r="Z201" s="422">
        <f t="shared" si="69"/>
        <v>0</v>
      </c>
      <c r="AA201" s="422">
        <f t="shared" si="69"/>
        <v>0</v>
      </c>
      <c r="AB201" s="422">
        <f t="shared" si="69"/>
        <v>0</v>
      </c>
      <c r="AC201" s="422">
        <f t="shared" si="69"/>
        <v>0</v>
      </c>
    </row>
    <row r="202" spans="1:53" ht="15.75">
      <c r="A202" s="25"/>
      <c r="B202" s="25"/>
      <c r="C202" s="403" t="s">
        <v>198</v>
      </c>
      <c r="D202" s="416">
        <f>-SUM(F202:AC202)/1000</f>
        <v>3947.1976299911694</v>
      </c>
      <c r="E202" s="43"/>
      <c r="F202" s="422">
        <f>F154+F156+F167+F169</f>
        <v>0</v>
      </c>
      <c r="G202" s="422">
        <f t="shared" ref="G202:AC202" si="70">G154+G156+G167+G169</f>
        <v>-41701.341975833231</v>
      </c>
      <c r="H202" s="422">
        <f t="shared" si="70"/>
        <v>-86541.255936757065</v>
      </c>
      <c r="I202" s="422">
        <f t="shared" si="70"/>
        <v>-90016.03067416836</v>
      </c>
      <c r="J202" s="422">
        <f t="shared" si="70"/>
        <v>-93873.000700417906</v>
      </c>
      <c r="K202" s="422">
        <f t="shared" si="70"/>
        <v>-98164.450331018685</v>
      </c>
      <c r="L202" s="422">
        <f t="shared" si="70"/>
        <v>-102949.81637584601</v>
      </c>
      <c r="M202" s="422">
        <f t="shared" si="70"/>
        <v>-108296.66660036601</v>
      </c>
      <c r="N202" s="422">
        <f t="shared" si="70"/>
        <v>-113812.62537564167</v>
      </c>
      <c r="O202" s="422">
        <f t="shared" si="70"/>
        <v>-120054.19815186891</v>
      </c>
      <c r="P202" s="422">
        <f t="shared" si="70"/>
        <v>-127120.64892437795</v>
      </c>
      <c r="Q202" s="422">
        <f t="shared" si="70"/>
        <v>-135124.82100306015</v>
      </c>
      <c r="R202" s="422">
        <f t="shared" si="70"/>
        <v>-144194.99466259993</v>
      </c>
      <c r="S202" s="422">
        <f t="shared" si="70"/>
        <v>-154476.99891925865</v>
      </c>
      <c r="T202" s="422">
        <f t="shared" si="70"/>
        <v>-166136.6121987222</v>
      </c>
      <c r="U202" s="422">
        <f t="shared" si="70"/>
        <v>-179362.29141531029</v>
      </c>
      <c r="V202" s="422">
        <f t="shared" si="70"/>
        <v>-194368.27438922145</v>
      </c>
      <c r="W202" s="422">
        <f t="shared" si="70"/>
        <v>-211398.10667445761</v>
      </c>
      <c r="X202" s="422">
        <f t="shared" si="70"/>
        <v>-230735.14018023241</v>
      </c>
      <c r="Y202" s="422">
        <f t="shared" si="70"/>
        <v>-252687.62297064654</v>
      </c>
      <c r="Z202" s="422">
        <f t="shared" si="70"/>
        <v>-277613.34850783879</v>
      </c>
      <c r="AA202" s="422">
        <f t="shared" si="70"/>
        <v>-305919.05639956845</v>
      </c>
      <c r="AB202" s="422">
        <f t="shared" si="70"/>
        <v>-338067.12823193613</v>
      </c>
      <c r="AC202" s="422">
        <f t="shared" si="70"/>
        <v>-374583.19939202111</v>
      </c>
    </row>
    <row r="203" spans="1:53" ht="15.75">
      <c r="A203" s="25"/>
      <c r="B203" s="25"/>
      <c r="C203" s="402"/>
      <c r="D203" s="417"/>
      <c r="F203" s="414">
        <f>SUM(F199:F202)</f>
        <v>0</v>
      </c>
      <c r="G203" s="414">
        <f t="shared" ref="G203:AC203" si="71">SUM(G199:G202)</f>
        <v>-1824319.7180464617</v>
      </c>
      <c r="H203" s="414">
        <f t="shared" si="71"/>
        <v>-2523754.7709367573</v>
      </c>
      <c r="I203" s="414">
        <f t="shared" si="71"/>
        <v>-90016.03067416836</v>
      </c>
      <c r="J203" s="414">
        <f t="shared" si="71"/>
        <v>-93873.000700417906</v>
      </c>
      <c r="K203" s="414">
        <f t="shared" si="71"/>
        <v>-98164.450331018685</v>
      </c>
      <c r="L203" s="414">
        <f t="shared" si="71"/>
        <v>-102949.81637584601</v>
      </c>
      <c r="M203" s="414">
        <f t="shared" si="71"/>
        <v>-108296.66660036601</v>
      </c>
      <c r="N203" s="414">
        <f t="shared" si="71"/>
        <v>-113812.62537564167</v>
      </c>
      <c r="O203" s="414">
        <f t="shared" si="71"/>
        <v>-120054.19815186891</v>
      </c>
      <c r="P203" s="414">
        <f t="shared" si="71"/>
        <v>-127120.64892437795</v>
      </c>
      <c r="Q203" s="414">
        <f t="shared" si="71"/>
        <v>-135124.82100306015</v>
      </c>
      <c r="R203" s="414">
        <f t="shared" si="71"/>
        <v>-144194.99466259993</v>
      </c>
      <c r="S203" s="414">
        <f t="shared" si="71"/>
        <v>-154476.99891925865</v>
      </c>
      <c r="T203" s="414">
        <f t="shared" si="71"/>
        <v>-166136.6121987222</v>
      </c>
      <c r="U203" s="414">
        <f t="shared" si="71"/>
        <v>-179362.29141531029</v>
      </c>
      <c r="V203" s="414">
        <f t="shared" si="71"/>
        <v>-194368.27438922145</v>
      </c>
      <c r="W203" s="414">
        <f t="shared" si="71"/>
        <v>-211398.10667445761</v>
      </c>
      <c r="X203" s="414">
        <f t="shared" si="71"/>
        <v>-230735.14018023241</v>
      </c>
      <c r="Y203" s="414">
        <f t="shared" si="71"/>
        <v>-252687.62297064654</v>
      </c>
      <c r="Z203" s="414">
        <f t="shared" si="71"/>
        <v>-277613.34850783879</v>
      </c>
      <c r="AA203" s="414">
        <f t="shared" si="71"/>
        <v>-305919.05639956845</v>
      </c>
      <c r="AB203" s="414">
        <f t="shared" si="71"/>
        <v>-338067.12823193613</v>
      </c>
      <c r="AC203" s="414">
        <f t="shared" si="71"/>
        <v>-374583.19939202111</v>
      </c>
    </row>
    <row r="204" spans="1:53" s="76" customFormat="1" ht="15.75">
      <c r="A204" s="25"/>
      <c r="B204" s="25"/>
      <c r="C204" s="401" t="s">
        <v>0</v>
      </c>
      <c r="D204" s="418">
        <f>SUM(D205:D211)</f>
        <v>19117.264688536026</v>
      </c>
      <c r="E204" s="25"/>
      <c r="F204" s="25"/>
      <c r="G204" s="25"/>
      <c r="H204" s="25"/>
      <c r="I204" s="25"/>
      <c r="J204" s="25"/>
      <c r="K204" s="25"/>
      <c r="L204" s="25"/>
      <c r="M204" s="25"/>
      <c r="N204" s="25"/>
      <c r="O204" s="25"/>
      <c r="P204" s="25"/>
      <c r="Q204" s="25"/>
      <c r="R204" s="25"/>
      <c r="S204" s="25"/>
      <c r="T204" s="25"/>
      <c r="U204" s="25"/>
      <c r="V204" s="25"/>
      <c r="W204" s="25"/>
      <c r="X204" s="25"/>
      <c r="Y204" s="25"/>
      <c r="Z204" s="25"/>
      <c r="AA204" s="25"/>
      <c r="AB204" s="25"/>
      <c r="AC204" s="25"/>
      <c r="AD204" s="335"/>
      <c r="AE204"/>
      <c r="AF204"/>
      <c r="AG204"/>
      <c r="AH204"/>
      <c r="AI204"/>
      <c r="AJ204"/>
      <c r="AK204"/>
      <c r="AL204"/>
      <c r="AM204"/>
      <c r="AN204"/>
      <c r="AO204"/>
      <c r="AP204"/>
      <c r="AQ204"/>
      <c r="AR204"/>
      <c r="AS204"/>
      <c r="AT204"/>
      <c r="AU204"/>
      <c r="AV204"/>
      <c r="AW204"/>
      <c r="AX204"/>
      <c r="AY204"/>
      <c r="AZ204"/>
      <c r="BA204"/>
    </row>
    <row r="205" spans="1:53" s="76" customFormat="1" ht="15.75">
      <c r="A205" s="25"/>
      <c r="B205" s="25"/>
      <c r="C205" s="403" t="s">
        <v>577</v>
      </c>
      <c r="D205" s="416">
        <f t="shared" ref="D205:D211" si="72">SUM(F205:AC205)/1000</f>
        <v>2748.737882220189</v>
      </c>
      <c r="E205" s="25"/>
      <c r="F205" s="423">
        <f>F45+F57+F71+F84</f>
        <v>0</v>
      </c>
      <c r="G205" s="423">
        <f>G45+G57+G71+G84</f>
        <v>54531.334012942243</v>
      </c>
      <c r="H205" s="423">
        <f t="shared" ref="H205:AC205" si="73">H45+H57+H71+H84</f>
        <v>110594.44735492393</v>
      </c>
      <c r="I205" s="423">
        <f t="shared" si="73"/>
        <v>112136.84284916692</v>
      </c>
      <c r="J205" s="423">
        <f t="shared" si="73"/>
        <v>113689.96208877435</v>
      </c>
      <c r="K205" s="423">
        <f t="shared" si="73"/>
        <v>115253.9217066407</v>
      </c>
      <c r="L205" s="423">
        <f t="shared" si="73"/>
        <v>116828.84967195592</v>
      </c>
      <c r="M205" s="423">
        <f t="shared" si="73"/>
        <v>118414.88806292</v>
      </c>
      <c r="N205" s="423">
        <f t="shared" si="73"/>
        <v>119209.308258024</v>
      </c>
      <c r="O205" s="423">
        <f t="shared" si="73"/>
        <v>120009.17991455173</v>
      </c>
      <c r="P205" s="423">
        <f t="shared" si="73"/>
        <v>120814.64682205573</v>
      </c>
      <c r="Q205" s="423">
        <f t="shared" si="73"/>
        <v>121625.88408617882</v>
      </c>
      <c r="R205" s="423">
        <f t="shared" si="73"/>
        <v>122443.10510430063</v>
      </c>
      <c r="S205" s="423">
        <f t="shared" si="73"/>
        <v>123266.56990123815</v>
      </c>
      <c r="T205" s="423">
        <f t="shared" si="73"/>
        <v>124096.59507054948</v>
      </c>
      <c r="U205" s="423">
        <f t="shared" si="73"/>
        <v>124933.56560929432</v>
      </c>
      <c r="V205" s="423">
        <f t="shared" si="73"/>
        <v>125777.94898347046</v>
      </c>
      <c r="W205" s="423">
        <f t="shared" si="73"/>
        <v>126630.31181893463</v>
      </c>
      <c r="X205" s="423">
        <f t="shared" si="73"/>
        <v>127502.87291813499</v>
      </c>
      <c r="Y205" s="423">
        <f t="shared" si="73"/>
        <v>128385.01609131921</v>
      </c>
      <c r="Z205" s="423">
        <f t="shared" si="73"/>
        <v>129277.74023631013</v>
      </c>
      <c r="AA205" s="423">
        <f t="shared" si="73"/>
        <v>130182.24693630687</v>
      </c>
      <c r="AB205" s="423">
        <f t="shared" si="73"/>
        <v>131099.97897965508</v>
      </c>
      <c r="AC205" s="423">
        <f t="shared" si="73"/>
        <v>132032.66574254044</v>
      </c>
      <c r="AD205" s="335"/>
      <c r="AE205"/>
      <c r="AF205"/>
      <c r="AG205"/>
      <c r="AH205"/>
      <c r="AI205"/>
      <c r="AJ205"/>
      <c r="AK205"/>
      <c r="AL205"/>
      <c r="AM205"/>
      <c r="AN205"/>
      <c r="AO205"/>
      <c r="AP205"/>
      <c r="AQ205"/>
      <c r="AR205"/>
      <c r="AS205"/>
      <c r="AT205"/>
      <c r="AU205"/>
      <c r="AV205"/>
      <c r="AW205"/>
      <c r="AX205"/>
      <c r="AY205"/>
      <c r="AZ205"/>
      <c r="BA205"/>
    </row>
    <row r="206" spans="1:53" s="76" customFormat="1" ht="15.75">
      <c r="A206" s="25"/>
      <c r="B206" s="25"/>
      <c r="C206" s="403" t="s">
        <v>578</v>
      </c>
      <c r="D206" s="416">
        <f t="shared" si="72"/>
        <v>4523.4968411568343</v>
      </c>
      <c r="E206" s="25"/>
      <c r="F206" s="422">
        <f>F64+F91</f>
        <v>0</v>
      </c>
      <c r="G206" s="422">
        <f t="shared" ref="G206:AC206" si="74">G64+G91</f>
        <v>91145.776567227571</v>
      </c>
      <c r="H206" s="422">
        <f t="shared" si="74"/>
        <v>184328.79464106733</v>
      </c>
      <c r="I206" s="422">
        <f t="shared" si="74"/>
        <v>186386.80928767097</v>
      </c>
      <c r="J206" s="422">
        <f t="shared" si="74"/>
        <v>188468.43883981704</v>
      </c>
      <c r="K206" s="422">
        <f t="shared" si="74"/>
        <v>190576.91381658358</v>
      </c>
      <c r="L206" s="422">
        <f t="shared" si="74"/>
        <v>192715.90667205877</v>
      </c>
      <c r="M206" s="422">
        <f t="shared" si="74"/>
        <v>194889.59225204986</v>
      </c>
      <c r="N206" s="422">
        <f t="shared" si="74"/>
        <v>195803.6476294368</v>
      </c>
      <c r="O206" s="422">
        <f t="shared" si="74"/>
        <v>196762.53690874009</v>
      </c>
      <c r="P206" s="422">
        <f t="shared" si="74"/>
        <v>197772.3933677419</v>
      </c>
      <c r="Q206" s="422">
        <f t="shared" si="74"/>
        <v>198840.18931662495</v>
      </c>
      <c r="R206" s="422">
        <f t="shared" si="74"/>
        <v>199973.85087760506</v>
      </c>
      <c r="S206" s="422">
        <f t="shared" si="74"/>
        <v>201182.38846641703</v>
      </c>
      <c r="T206" s="422">
        <f t="shared" si="74"/>
        <v>202476.04512366836</v>
      </c>
      <c r="U206" s="422">
        <f t="shared" si="74"/>
        <v>203866.46513792142</v>
      </c>
      <c r="V206" s="422">
        <f t="shared" si="74"/>
        <v>205366.88573641414</v>
      </c>
      <c r="W206" s="422">
        <f t="shared" si="74"/>
        <v>206992.35499907055</v>
      </c>
      <c r="X206" s="422">
        <f t="shared" si="74"/>
        <v>208777.94701236885</v>
      </c>
      <c r="Y206" s="422">
        <f t="shared" si="74"/>
        <v>210725.14119505882</v>
      </c>
      <c r="Z206" s="422">
        <f t="shared" si="74"/>
        <v>212856.04472391322</v>
      </c>
      <c r="AA206" s="422">
        <f t="shared" si="74"/>
        <v>215195.78903748729</v>
      </c>
      <c r="AB206" s="422">
        <f t="shared" si="74"/>
        <v>217772.94355513077</v>
      </c>
      <c r="AC206" s="422">
        <f t="shared" si="74"/>
        <v>220619.98599276016</v>
      </c>
      <c r="AD206" s="335"/>
      <c r="AE206"/>
      <c r="AF206"/>
      <c r="AG206"/>
      <c r="AH206"/>
      <c r="AI206"/>
      <c r="AJ206"/>
      <c r="AK206"/>
      <c r="AL206"/>
      <c r="AM206"/>
      <c r="AN206"/>
      <c r="AO206"/>
      <c r="AP206"/>
      <c r="AQ206"/>
      <c r="AR206"/>
      <c r="AS206"/>
      <c r="AT206"/>
      <c r="AU206"/>
      <c r="AV206"/>
      <c r="AW206"/>
      <c r="AX206"/>
      <c r="AY206"/>
      <c r="AZ206"/>
      <c r="BA206"/>
    </row>
    <row r="207" spans="1:53" s="76" customFormat="1" ht="15.75">
      <c r="A207" s="25"/>
      <c r="B207" s="25"/>
      <c r="C207" s="403" t="s">
        <v>199</v>
      </c>
      <c r="D207" s="416">
        <f t="shared" si="72"/>
        <v>289.88751186884144</v>
      </c>
      <c r="E207" s="25"/>
      <c r="F207" s="422">
        <f>F109</f>
        <v>0</v>
      </c>
      <c r="G207" s="422">
        <f t="shared" ref="G207:AC207" si="75">G109</f>
        <v>3531.8596476612083</v>
      </c>
      <c r="H207" s="422">
        <f t="shared" si="75"/>
        <v>7376.0069528893182</v>
      </c>
      <c r="I207" s="422">
        <f t="shared" si="75"/>
        <v>7705.5951279227747</v>
      </c>
      <c r="J207" s="422">
        <f t="shared" si="75"/>
        <v>8054.3462644975916</v>
      </c>
      <c r="K207" s="422">
        <f t="shared" si="75"/>
        <v>8424.3754649508592</v>
      </c>
      <c r="L207" s="422">
        <f t="shared" si="75"/>
        <v>8818.0854454627297</v>
      </c>
      <c r="M207" s="422">
        <f t="shared" si="75"/>
        <v>9238.2063398460723</v>
      </c>
      <c r="N207" s="422">
        <f t="shared" si="75"/>
        <v>9634.4559189986176</v>
      </c>
      <c r="O207" s="422">
        <f t="shared" si="75"/>
        <v>10061.496685793149</v>
      </c>
      <c r="P207" s="422">
        <f t="shared" si="75"/>
        <v>10523.315135810251</v>
      </c>
      <c r="Q207" s="422">
        <f t="shared" si="75"/>
        <v>11024.447484355718</v>
      </c>
      <c r="R207" s="422">
        <f t="shared" si="75"/>
        <v>11570.055877471073</v>
      </c>
      <c r="S207" s="422">
        <f t="shared" si="75"/>
        <v>12166.015180779668</v>
      </c>
      <c r="T207" s="422">
        <f t="shared" si="75"/>
        <v>12819.011815527036</v>
      </c>
      <c r="U207" s="422">
        <f t="shared" si="75"/>
        <v>13536.656315448581</v>
      </c>
      <c r="V207" s="422">
        <f t="shared" si="75"/>
        <v>14327.611510797346</v>
      </c>
      <c r="W207" s="422">
        <f t="shared" si="75"/>
        <v>15201.738510946478</v>
      </c>
      <c r="X207" s="422">
        <f t="shared" si="75"/>
        <v>16171.162011513414</v>
      </c>
      <c r="Y207" s="422">
        <f t="shared" si="75"/>
        <v>17247.795908240514</v>
      </c>
      <c r="Z207" s="422">
        <f t="shared" si="75"/>
        <v>18446.189609610665</v>
      </c>
      <c r="AA207" s="422">
        <f t="shared" si="75"/>
        <v>19782.907646745021</v>
      </c>
      <c r="AB207" s="422">
        <f t="shared" si="75"/>
        <v>21276.809389333957</v>
      </c>
      <c r="AC207" s="422">
        <f t="shared" si="75"/>
        <v>22949.367624239367</v>
      </c>
      <c r="AD207" s="335"/>
      <c r="AE207"/>
      <c r="AF207"/>
      <c r="AG207"/>
      <c r="AH207"/>
      <c r="AI207"/>
      <c r="AJ207"/>
      <c r="AK207"/>
      <c r="AL207"/>
      <c r="AM207"/>
      <c r="AN207"/>
      <c r="AO207"/>
      <c r="AP207"/>
      <c r="AQ207"/>
      <c r="AR207"/>
      <c r="AS207"/>
      <c r="AT207"/>
      <c r="AU207"/>
      <c r="AV207"/>
      <c r="AW207"/>
      <c r="AX207"/>
      <c r="AY207"/>
      <c r="AZ207"/>
      <c r="BA207"/>
    </row>
    <row r="208" spans="1:53" ht="15.75">
      <c r="C208" s="403" t="s">
        <v>200</v>
      </c>
      <c r="D208" s="416">
        <f t="shared" si="72"/>
        <v>1093.5480082300053</v>
      </c>
      <c r="F208" s="422">
        <f>F122-F120</f>
        <v>0</v>
      </c>
      <c r="G208" s="422">
        <f t="shared" ref="G208:AC208" si="76">G122-G120</f>
        <v>5303.0505256917968</v>
      </c>
      <c r="H208" s="422">
        <f t="shared" si="76"/>
        <v>46188.076154251983</v>
      </c>
      <c r="I208" s="422">
        <f t="shared" si="76"/>
        <v>46672.979701702323</v>
      </c>
      <c r="J208" s="422">
        <f t="shared" si="76"/>
        <v>47159.246697505616</v>
      </c>
      <c r="K208" s="422">
        <f t="shared" si="76"/>
        <v>47647.063661396511</v>
      </c>
      <c r="L208" s="422">
        <f t="shared" si="76"/>
        <v>48136.642629009424</v>
      </c>
      <c r="M208" s="422">
        <f t="shared" si="76"/>
        <v>48628.224642453511</v>
      </c>
      <c r="N208" s="422">
        <f t="shared" si="76"/>
        <v>48794.843572554746</v>
      </c>
      <c r="O208" s="422">
        <f t="shared" si="76"/>
        <v>48964.051067306988</v>
      </c>
      <c r="P208" s="422">
        <f t="shared" si="76"/>
        <v>49136.20124235448</v>
      </c>
      <c r="Q208" s="422">
        <f t="shared" si="76"/>
        <v>49311.69665636163</v>
      </c>
      <c r="R208" s="422">
        <f t="shared" si="76"/>
        <v>49490.994938018091</v>
      </c>
      <c r="S208" s="422">
        <f t="shared" si="76"/>
        <v>49674.616319618319</v>
      </c>
      <c r="T208" s="422">
        <f t="shared" si="76"/>
        <v>49863.152201234596</v>
      </c>
      <c r="U208" s="422">
        <f t="shared" si="76"/>
        <v>50057.274886469124</v>
      </c>
      <c r="V208" s="422">
        <f t="shared" si="76"/>
        <v>50257.748650056892</v>
      </c>
      <c r="W208" s="422">
        <f t="shared" si="76"/>
        <v>50465.442319516624</v>
      </c>
      <c r="X208" s="422">
        <f t="shared" si="76"/>
        <v>50685.869638287229</v>
      </c>
      <c r="Y208" s="422">
        <f t="shared" si="76"/>
        <v>50915.627344227629</v>
      </c>
      <c r="Z208" s="422">
        <f t="shared" si="76"/>
        <v>51155.991834302651</v>
      </c>
      <c r="AA208" s="422">
        <f t="shared" si="76"/>
        <v>51408.414116581902</v>
      </c>
      <c r="AB208" s="422">
        <f t="shared" si="76"/>
        <v>51674.543697038913</v>
      </c>
      <c r="AC208" s="422">
        <f t="shared" si="76"/>
        <v>51956.255734064413</v>
      </c>
    </row>
    <row r="209" spans="1:53" s="76" customFormat="1" ht="15.75">
      <c r="A209" s="25"/>
      <c r="B209" s="25"/>
      <c r="C209" s="403" t="s">
        <v>201</v>
      </c>
      <c r="D209" s="416">
        <f t="shared" si="72"/>
        <v>1278.9397236577543</v>
      </c>
      <c r="E209" s="25"/>
      <c r="F209" s="422">
        <f>F142+F124</f>
        <v>0</v>
      </c>
      <c r="G209" s="422">
        <f t="shared" ref="G209:AC209" si="77">G142+G124</f>
        <v>37300.322443868274</v>
      </c>
      <c r="H209" s="422">
        <f t="shared" si="77"/>
        <v>72076.920134340937</v>
      </c>
      <c r="I209" s="422">
        <f t="shared" si="77"/>
        <v>69529.381715804077</v>
      </c>
      <c r="J209" s="422">
        <f t="shared" si="77"/>
        <v>67039.434895721963</v>
      </c>
      <c r="K209" s="422">
        <f t="shared" si="77"/>
        <v>64448.723956483511</v>
      </c>
      <c r="L209" s="422">
        <f t="shared" si="77"/>
        <v>61787.947085663633</v>
      </c>
      <c r="M209" s="422">
        <f t="shared" si="77"/>
        <v>59052.624675154599</v>
      </c>
      <c r="N209" s="422">
        <f t="shared" si="77"/>
        <v>55977.20431727211</v>
      </c>
      <c r="O209" s="422">
        <f t="shared" si="77"/>
        <v>53478.481592494223</v>
      </c>
      <c r="P209" s="422">
        <f t="shared" si="77"/>
        <v>53257.135301941686</v>
      </c>
      <c r="Q209" s="422">
        <f t="shared" si="77"/>
        <v>53036.503595511764</v>
      </c>
      <c r="R209" s="422">
        <f t="shared" si="77"/>
        <v>52834.806393652914</v>
      </c>
      <c r="S209" s="422">
        <f t="shared" si="77"/>
        <v>52637.430828077224</v>
      </c>
      <c r="T209" s="422">
        <f t="shared" si="77"/>
        <v>52462.779135802644</v>
      </c>
      <c r="U209" s="422">
        <f t="shared" si="77"/>
        <v>52296.954607298496</v>
      </c>
      <c r="V209" s="422">
        <f t="shared" si="77"/>
        <v>52158.665823231218</v>
      </c>
      <c r="W209" s="422">
        <f t="shared" si="77"/>
        <v>52034.834784731924</v>
      </c>
      <c r="X209" s="422">
        <f t="shared" si="77"/>
        <v>51941.430372741175</v>
      </c>
      <c r="Y209" s="422">
        <f t="shared" si="77"/>
        <v>51885.742856232573</v>
      </c>
      <c r="Z209" s="422">
        <f t="shared" si="77"/>
        <v>52442.333604100859</v>
      </c>
      <c r="AA209" s="422">
        <f t="shared" si="77"/>
        <v>53059.341689511253</v>
      </c>
      <c r="AB209" s="422">
        <f t="shared" si="77"/>
        <v>53728.031257309238</v>
      </c>
      <c r="AC209" s="422">
        <f t="shared" si="77"/>
        <v>54472.692590807754</v>
      </c>
      <c r="AD209" s="335"/>
      <c r="AE209"/>
      <c r="AF209"/>
      <c r="AG209"/>
      <c r="AH209"/>
      <c r="AI209"/>
      <c r="AJ209"/>
      <c r="AK209"/>
      <c r="AL209"/>
      <c r="AM209"/>
      <c r="AN209"/>
      <c r="AO209"/>
      <c r="AP209"/>
      <c r="AQ209"/>
      <c r="AR209"/>
      <c r="AS209"/>
      <c r="AT209"/>
      <c r="AU209"/>
      <c r="AV209"/>
      <c r="AW209"/>
      <c r="AX209"/>
      <c r="AY209"/>
      <c r="AZ209"/>
      <c r="BA209"/>
    </row>
    <row r="210" spans="1:53" s="76" customFormat="1" ht="15.75">
      <c r="A210" s="36"/>
      <c r="B210" s="36"/>
      <c r="C210" s="403" t="s">
        <v>579</v>
      </c>
      <c r="D210" s="416">
        <f t="shared" si="72"/>
        <v>0.46538292307583345</v>
      </c>
      <c r="E210" s="25"/>
      <c r="F210" s="422">
        <f>F147</f>
        <v>0</v>
      </c>
      <c r="G210" s="422">
        <f t="shared" ref="G210:AC210" si="78">G147</f>
        <v>1.7666476037599819</v>
      </c>
      <c r="H210" s="422">
        <f t="shared" si="78"/>
        <v>4.016649991908694</v>
      </c>
      <c r="I210" s="422">
        <f t="shared" si="78"/>
        <v>4.5661277108018048</v>
      </c>
      <c r="J210" s="422">
        <f t="shared" si="78"/>
        <v>5.1907739816394916</v>
      </c>
      <c r="K210" s="422">
        <f t="shared" si="78"/>
        <v>5.9008718623277732</v>
      </c>
      <c r="L210" s="422">
        <f t="shared" si="78"/>
        <v>6.7081111330942127</v>
      </c>
      <c r="M210" s="422">
        <f t="shared" si="78"/>
        <v>7.6257807361015031</v>
      </c>
      <c r="N210" s="422">
        <f t="shared" si="78"/>
        <v>8.6689875408001882</v>
      </c>
      <c r="O210" s="422">
        <f t="shared" si="78"/>
        <v>9.8549050363816537</v>
      </c>
      <c r="P210" s="422">
        <f t="shared" si="78"/>
        <v>11.203056045358666</v>
      </c>
      <c r="Q210" s="422">
        <f t="shared" si="78"/>
        <v>12.735634112363732</v>
      </c>
      <c r="R210" s="422">
        <f t="shared" si="78"/>
        <v>14.477868858935089</v>
      </c>
      <c r="S210" s="422">
        <f t="shared" si="78"/>
        <v>16.458441318837409</v>
      </c>
      <c r="T210" s="422">
        <f t="shared" si="78"/>
        <v>18.709956091254369</v>
      </c>
      <c r="U210" s="422">
        <f t="shared" si="78"/>
        <v>21.269478084537969</v>
      </c>
      <c r="V210" s="422">
        <f t="shared" si="78"/>
        <v>24.179142686502765</v>
      </c>
      <c r="W210" s="422">
        <f t="shared" si="78"/>
        <v>27.486849406016344</v>
      </c>
      <c r="X210" s="422">
        <f t="shared" si="78"/>
        <v>31.247050404759388</v>
      </c>
      <c r="Y210" s="422">
        <f t="shared" si="78"/>
        <v>35.52164690013047</v>
      </c>
      <c r="Z210" s="422">
        <f t="shared" si="78"/>
        <v>40.381008196068315</v>
      </c>
      <c r="AA210" s="422">
        <f t="shared" si="78"/>
        <v>45.905130117290469</v>
      </c>
      <c r="AB210" s="422">
        <f t="shared" si="78"/>
        <v>52.184951917335795</v>
      </c>
      <c r="AC210" s="422">
        <f t="shared" si="78"/>
        <v>59.323853339627334</v>
      </c>
      <c r="AD210" s="335"/>
      <c r="AE210"/>
      <c r="AF210"/>
      <c r="AG210"/>
      <c r="AH210"/>
      <c r="AI210"/>
      <c r="AJ210"/>
      <c r="AK210"/>
      <c r="AL210"/>
      <c r="AM210"/>
      <c r="AN210"/>
      <c r="AO210"/>
      <c r="AP210"/>
      <c r="AQ210"/>
      <c r="AR210"/>
      <c r="AS210"/>
      <c r="AT210"/>
      <c r="AU210"/>
      <c r="AV210"/>
      <c r="AW210"/>
      <c r="AX210"/>
      <c r="AY210"/>
      <c r="AZ210"/>
      <c r="BA210"/>
    </row>
    <row r="211" spans="1:53" s="76" customFormat="1" ht="15.75">
      <c r="A211" s="25"/>
      <c r="B211" s="25"/>
      <c r="C211" s="403" t="s">
        <v>202</v>
      </c>
      <c r="D211" s="416">
        <f t="shared" si="72"/>
        <v>9182.1893384793275</v>
      </c>
      <c r="E211" s="25"/>
      <c r="F211" s="422">
        <f>F160+F162+F173+F175+F179+F181+F183</f>
        <v>0</v>
      </c>
      <c r="G211" s="422">
        <f t="shared" ref="G211:AC211" si="79">G160+G162+G173+G175+G179+G181+G183</f>
        <v>181044.07285146858</v>
      </c>
      <c r="H211" s="422">
        <f t="shared" si="79"/>
        <v>366366.37984148558</v>
      </c>
      <c r="I211" s="422">
        <f t="shared" si="79"/>
        <v>370720.1723504953</v>
      </c>
      <c r="J211" s="422">
        <f t="shared" si="79"/>
        <v>375159.8596150456</v>
      </c>
      <c r="K211" s="422">
        <f t="shared" si="79"/>
        <v>379697.19203769433</v>
      </c>
      <c r="L211" s="422">
        <f t="shared" si="79"/>
        <v>384345.52747606928</v>
      </c>
      <c r="M211" s="422">
        <f t="shared" si="79"/>
        <v>389120.05114272167</v>
      </c>
      <c r="N211" s="422">
        <f t="shared" si="79"/>
        <v>391470.80768248509</v>
      </c>
      <c r="O211" s="422">
        <f t="shared" si="79"/>
        <v>393984.63906657201</v>
      </c>
      <c r="P211" s="422">
        <f t="shared" si="79"/>
        <v>396683.85393368592</v>
      </c>
      <c r="Q211" s="422">
        <f t="shared" si="79"/>
        <v>399593.812744305</v>
      </c>
      <c r="R211" s="422">
        <f t="shared" si="79"/>
        <v>402743.3452699004</v>
      </c>
      <c r="S211" s="422">
        <f t="shared" si="79"/>
        <v>406165.22519468149</v>
      </c>
      <c r="T211" s="422">
        <f t="shared" si="79"/>
        <v>409896.70964285638</v>
      </c>
      <c r="U211" s="422">
        <f t="shared" si="79"/>
        <v>413980.15251322556</v>
      </c>
      <c r="V211" s="422">
        <f t="shared" si="79"/>
        <v>418463.70171794493</v>
      </c>
      <c r="W211" s="422">
        <f t="shared" si="79"/>
        <v>423402.09180355415</v>
      </c>
      <c r="X211" s="422">
        <f t="shared" si="79"/>
        <v>428893.05220797961</v>
      </c>
      <c r="Y211" s="422">
        <f t="shared" si="79"/>
        <v>434971.80995971267</v>
      </c>
      <c r="Z211" s="422">
        <f t="shared" si="79"/>
        <v>441718.77573586523</v>
      </c>
      <c r="AA211" s="422">
        <f t="shared" si="79"/>
        <v>449225.36039417784</v>
      </c>
      <c r="AB211" s="422">
        <f t="shared" si="79"/>
        <v>457595.4797977297</v>
      </c>
      <c r="AC211" s="422">
        <f t="shared" si="79"/>
        <v>466947.26549966977</v>
      </c>
      <c r="AD211" s="335"/>
      <c r="AE211"/>
      <c r="AF211"/>
      <c r="AG211"/>
      <c r="AH211"/>
      <c r="AI211"/>
      <c r="AJ211"/>
      <c r="AK211"/>
      <c r="AL211"/>
      <c r="AM211"/>
      <c r="AN211"/>
      <c r="AO211"/>
      <c r="AP211"/>
      <c r="AQ211"/>
      <c r="AR211"/>
      <c r="AS211"/>
      <c r="AT211"/>
      <c r="AU211"/>
      <c r="AV211"/>
      <c r="AW211"/>
      <c r="AX211"/>
      <c r="AY211"/>
      <c r="AZ211"/>
      <c r="BA211"/>
    </row>
    <row r="212" spans="1:53" s="76" customFormat="1" ht="15.75">
      <c r="A212" s="25"/>
      <c r="B212" s="25"/>
      <c r="C212" s="402"/>
      <c r="D212" s="417"/>
      <c r="E212" s="25"/>
      <c r="F212" s="413">
        <f>SUM(F205:F211)</f>
        <v>0</v>
      </c>
      <c r="G212" s="413">
        <f t="shared" ref="G212:AC212" si="80">SUM(G205:G211)</f>
        <v>372858.18269646342</v>
      </c>
      <c r="H212" s="413">
        <f t="shared" si="80"/>
        <v>786934.64172895101</v>
      </c>
      <c r="I212" s="413">
        <f t="shared" si="80"/>
        <v>793156.34716047312</v>
      </c>
      <c r="J212" s="413">
        <f t="shared" si="80"/>
        <v>799576.47917534376</v>
      </c>
      <c r="K212" s="413">
        <f t="shared" si="80"/>
        <v>806054.09151561186</v>
      </c>
      <c r="L212" s="413">
        <f t="shared" si="80"/>
        <v>812639.66709135287</v>
      </c>
      <c r="M212" s="413">
        <f t="shared" si="80"/>
        <v>819351.21289588173</v>
      </c>
      <c r="N212" s="413">
        <f t="shared" si="80"/>
        <v>820898.93636631221</v>
      </c>
      <c r="O212" s="413">
        <f t="shared" si="80"/>
        <v>823270.24014049466</v>
      </c>
      <c r="P212" s="413">
        <f t="shared" si="80"/>
        <v>828198.74885963532</v>
      </c>
      <c r="Q212" s="413">
        <f t="shared" si="80"/>
        <v>833445.26951745024</v>
      </c>
      <c r="R212" s="413">
        <f t="shared" si="80"/>
        <v>839070.63632980711</v>
      </c>
      <c r="S212" s="413">
        <f t="shared" si="80"/>
        <v>845108.70433213073</v>
      </c>
      <c r="T212" s="413">
        <f t="shared" si="80"/>
        <v>851633.00294572976</v>
      </c>
      <c r="U212" s="413">
        <f t="shared" si="80"/>
        <v>858692.33854774199</v>
      </c>
      <c r="V212" s="413">
        <f t="shared" si="80"/>
        <v>866376.74156460143</v>
      </c>
      <c r="W212" s="413">
        <f t="shared" si="80"/>
        <v>874754.26108616032</v>
      </c>
      <c r="X212" s="413">
        <f t="shared" si="80"/>
        <v>884003.58121143002</v>
      </c>
      <c r="Y212" s="413">
        <f t="shared" si="80"/>
        <v>894166.65500169154</v>
      </c>
      <c r="Z212" s="413">
        <f t="shared" si="80"/>
        <v>905937.45675229887</v>
      </c>
      <c r="AA212" s="413">
        <f t="shared" si="80"/>
        <v>918899.96495092753</v>
      </c>
      <c r="AB212" s="413">
        <f t="shared" si="80"/>
        <v>933199.97162811493</v>
      </c>
      <c r="AC212" s="413">
        <f t="shared" si="80"/>
        <v>949037.5570374215</v>
      </c>
      <c r="AD212" s="335"/>
      <c r="AE212"/>
      <c r="AF212"/>
      <c r="AG212"/>
      <c r="AH212"/>
      <c r="AI212"/>
      <c r="AJ212"/>
      <c r="AK212"/>
      <c r="AL212"/>
      <c r="AM212"/>
      <c r="AN212"/>
      <c r="AO212"/>
      <c r="AP212"/>
      <c r="AQ212"/>
      <c r="AR212"/>
      <c r="AS212"/>
      <c r="AT212"/>
      <c r="AU212"/>
      <c r="AV212"/>
      <c r="AW212"/>
      <c r="AX212"/>
      <c r="AY212"/>
      <c r="AZ212"/>
      <c r="BA212"/>
    </row>
    <row r="213" spans="1:53" s="76" customFormat="1" ht="15.75">
      <c r="A213" s="25"/>
      <c r="B213" s="25"/>
      <c r="C213" s="401" t="s">
        <v>182</v>
      </c>
      <c r="D213" s="420"/>
      <c r="E213" s="25"/>
      <c r="F213" s="25"/>
      <c r="G213" s="25"/>
      <c r="H213" s="25"/>
      <c r="I213" s="25"/>
      <c r="J213" s="25"/>
      <c r="K213" s="25"/>
      <c r="L213" s="25"/>
      <c r="M213" s="25"/>
      <c r="N213" s="25"/>
      <c r="O213" s="25"/>
      <c r="P213" s="25"/>
      <c r="Q213" s="25"/>
      <c r="R213" s="25"/>
      <c r="S213" s="25"/>
      <c r="T213" s="25"/>
      <c r="U213" s="25"/>
      <c r="V213" s="25"/>
      <c r="W213" s="25"/>
      <c r="X213" s="25"/>
      <c r="Y213" s="25"/>
      <c r="Z213" s="25"/>
      <c r="AA213" s="25"/>
      <c r="AB213" s="25"/>
      <c r="AC213" s="25"/>
      <c r="AD213" s="335"/>
      <c r="AE213"/>
      <c r="AF213"/>
      <c r="AG213"/>
      <c r="AH213"/>
      <c r="AI213"/>
      <c r="AJ213"/>
      <c r="AK213"/>
      <c r="AL213"/>
      <c r="AM213"/>
      <c r="AN213"/>
      <c r="AO213"/>
      <c r="AP213"/>
      <c r="AQ213"/>
      <c r="AR213"/>
      <c r="AS213"/>
      <c r="AT213"/>
      <c r="AU213"/>
      <c r="AV213"/>
      <c r="AW213"/>
      <c r="AX213"/>
      <c r="AY213"/>
      <c r="AZ213"/>
      <c r="BA213"/>
    </row>
    <row r="214" spans="1:53" s="76" customFormat="1" ht="15.75">
      <c r="A214" s="25"/>
      <c r="B214" s="25"/>
      <c r="C214" s="401" t="s">
        <v>183</v>
      </c>
      <c r="D214" s="419">
        <f>IRR(F214:AC214)</f>
        <v>0.1966539492322471</v>
      </c>
      <c r="E214" s="25"/>
      <c r="F214" s="415">
        <f>F203+F212</f>
        <v>0</v>
      </c>
      <c r="G214" s="415">
        <f t="shared" ref="G214:AC214" si="81">G203+G212</f>
        <v>-1451461.5353499982</v>
      </c>
      <c r="H214" s="415">
        <f t="shared" si="81"/>
        <v>-1736820.1292078062</v>
      </c>
      <c r="I214" s="415">
        <f t="shared" si="81"/>
        <v>703140.31648630474</v>
      </c>
      <c r="J214" s="415">
        <f t="shared" si="81"/>
        <v>705703.47847492585</v>
      </c>
      <c r="K214" s="415">
        <f t="shared" si="81"/>
        <v>707889.6411845932</v>
      </c>
      <c r="L214" s="415">
        <f t="shared" si="81"/>
        <v>709689.85071550682</v>
      </c>
      <c r="M214" s="415">
        <f t="shared" si="81"/>
        <v>711054.54629551573</v>
      </c>
      <c r="N214" s="415">
        <f t="shared" si="81"/>
        <v>707086.31099067058</v>
      </c>
      <c r="O214" s="415">
        <f t="shared" si="81"/>
        <v>703216.04198862577</v>
      </c>
      <c r="P214" s="415">
        <f t="shared" si="81"/>
        <v>701078.09993525734</v>
      </c>
      <c r="Q214" s="415">
        <f t="shared" si="81"/>
        <v>698320.44851439004</v>
      </c>
      <c r="R214" s="415">
        <f t="shared" si="81"/>
        <v>694875.64166720724</v>
      </c>
      <c r="S214" s="415">
        <f t="shared" si="81"/>
        <v>690631.70541287214</v>
      </c>
      <c r="T214" s="415">
        <f t="shared" si="81"/>
        <v>685496.39074700756</v>
      </c>
      <c r="U214" s="415">
        <f t="shared" si="81"/>
        <v>679330.04713243176</v>
      </c>
      <c r="V214" s="415">
        <f t="shared" si="81"/>
        <v>672008.46717537998</v>
      </c>
      <c r="W214" s="415">
        <f t="shared" si="81"/>
        <v>663356.15441170265</v>
      </c>
      <c r="X214" s="415">
        <f t="shared" si="81"/>
        <v>653268.44103119755</v>
      </c>
      <c r="Y214" s="415">
        <f t="shared" si="81"/>
        <v>641479.03203104506</v>
      </c>
      <c r="Z214" s="415">
        <f t="shared" si="81"/>
        <v>628324.10824446008</v>
      </c>
      <c r="AA214" s="415">
        <f t="shared" si="81"/>
        <v>612980.90855135908</v>
      </c>
      <c r="AB214" s="415">
        <f t="shared" si="81"/>
        <v>595132.8433961788</v>
      </c>
      <c r="AC214" s="415">
        <f t="shared" si="81"/>
        <v>574454.35764540033</v>
      </c>
      <c r="AD214" s="335"/>
      <c r="AE214"/>
      <c r="AF214"/>
      <c r="AG214"/>
      <c r="AH214"/>
      <c r="AI214"/>
      <c r="AJ214"/>
      <c r="AK214"/>
      <c r="AL214"/>
      <c r="AM214"/>
      <c r="AN214"/>
      <c r="AO214"/>
      <c r="AP214"/>
      <c r="AQ214"/>
      <c r="AR214"/>
      <c r="AS214"/>
      <c r="AT214"/>
      <c r="AU214"/>
      <c r="AV214"/>
      <c r="AW214"/>
      <c r="AX214"/>
      <c r="AY214"/>
      <c r="AZ214"/>
      <c r="BA214"/>
    </row>
    <row r="215" spans="1:53" s="76" customFormat="1" ht="15.75">
      <c r="A215" s="25"/>
      <c r="B215" s="25"/>
      <c r="C215" s="401" t="s">
        <v>184</v>
      </c>
      <c r="D215" s="420">
        <f>SUM(F212:AC212)/-SUM(F203:AC203)</f>
        <v>2.3407855499034103</v>
      </c>
      <c r="E215" s="25"/>
      <c r="F215" s="407">
        <f t="shared" ref="F215:AC215" si="82">F214-F188</f>
        <v>0</v>
      </c>
      <c r="G215" s="407">
        <f t="shared" si="82"/>
        <v>0</v>
      </c>
      <c r="H215" s="407">
        <f t="shared" si="82"/>
        <v>0</v>
      </c>
      <c r="I215" s="407">
        <f t="shared" si="82"/>
        <v>0</v>
      </c>
      <c r="J215" s="407">
        <f t="shared" si="82"/>
        <v>0</v>
      </c>
      <c r="K215" s="407">
        <f t="shared" si="82"/>
        <v>0</v>
      </c>
      <c r="L215" s="407">
        <f t="shared" si="82"/>
        <v>0</v>
      </c>
      <c r="M215" s="407">
        <f t="shared" si="82"/>
        <v>0</v>
      </c>
      <c r="N215" s="407">
        <f t="shared" si="82"/>
        <v>0</v>
      </c>
      <c r="O215" s="407">
        <f t="shared" si="82"/>
        <v>0</v>
      </c>
      <c r="P215" s="407">
        <f t="shared" si="82"/>
        <v>0</v>
      </c>
      <c r="Q215" s="407">
        <f t="shared" si="82"/>
        <v>0</v>
      </c>
      <c r="R215" s="407">
        <f t="shared" si="82"/>
        <v>0</v>
      </c>
      <c r="S215" s="407">
        <f t="shared" si="82"/>
        <v>0</v>
      </c>
      <c r="T215" s="407">
        <f t="shared" si="82"/>
        <v>0</v>
      </c>
      <c r="U215" s="407">
        <f t="shared" si="82"/>
        <v>0</v>
      </c>
      <c r="V215" s="407">
        <f t="shared" si="82"/>
        <v>0</v>
      </c>
      <c r="W215" s="407">
        <f t="shared" si="82"/>
        <v>0</v>
      </c>
      <c r="X215" s="407">
        <f t="shared" si="82"/>
        <v>0</v>
      </c>
      <c r="Y215" s="407">
        <f t="shared" si="82"/>
        <v>0</v>
      </c>
      <c r="Z215" s="407">
        <f t="shared" si="82"/>
        <v>0</v>
      </c>
      <c r="AA215" s="407">
        <f t="shared" si="82"/>
        <v>0</v>
      </c>
      <c r="AB215" s="407">
        <f t="shared" si="82"/>
        <v>0</v>
      </c>
      <c r="AC215" s="407">
        <f t="shared" si="82"/>
        <v>0</v>
      </c>
      <c r="AD215" s="335"/>
      <c r="AE215"/>
      <c r="AF215"/>
      <c r="AG215"/>
      <c r="AH215"/>
      <c r="AI215"/>
      <c r="AJ215"/>
      <c r="AK215"/>
      <c r="AL215"/>
      <c r="AM215"/>
      <c r="AN215"/>
      <c r="AO215"/>
      <c r="AP215"/>
      <c r="AQ215"/>
      <c r="AR215"/>
      <c r="AS215"/>
      <c r="AT215"/>
      <c r="AU215"/>
      <c r="AV215"/>
      <c r="AW215"/>
      <c r="AX215"/>
      <c r="AY215"/>
      <c r="AZ215"/>
      <c r="BA215"/>
    </row>
    <row r="216" spans="1:53" s="76" customFormat="1">
      <c r="A216" s="25"/>
      <c r="B216" s="25"/>
      <c r="C216" s="50"/>
      <c r="D216" s="40"/>
      <c r="E216" s="25"/>
      <c r="F216" s="39"/>
      <c r="H216"/>
      <c r="I216"/>
      <c r="J216"/>
      <c r="K216"/>
      <c r="L216"/>
      <c r="M216"/>
      <c r="N216"/>
      <c r="O216"/>
      <c r="P216"/>
      <c r="Q216"/>
      <c r="R216"/>
      <c r="S216"/>
      <c r="T216"/>
      <c r="U216"/>
      <c r="V216"/>
      <c r="W216"/>
      <c r="X216"/>
      <c r="Y216"/>
      <c r="Z216"/>
      <c r="AA216"/>
      <c r="AB216"/>
      <c r="AC216"/>
      <c r="AD216" s="335"/>
      <c r="AE216"/>
      <c r="AF216"/>
      <c r="AG216"/>
      <c r="AH216"/>
      <c r="AI216"/>
      <c r="AJ216"/>
      <c r="AK216"/>
      <c r="AL216"/>
      <c r="AM216"/>
      <c r="AN216"/>
      <c r="AO216"/>
      <c r="AP216"/>
      <c r="AQ216"/>
      <c r="AR216"/>
      <c r="AS216"/>
      <c r="AT216"/>
      <c r="AU216"/>
      <c r="AV216"/>
      <c r="AW216"/>
      <c r="AX216"/>
      <c r="AY216"/>
      <c r="AZ216"/>
      <c r="BA216"/>
    </row>
    <row r="217" spans="1:53" s="76" customFormat="1">
      <c r="A217" s="25"/>
      <c r="B217" s="25"/>
      <c r="C217" s="50"/>
      <c r="D217" s="25"/>
      <c r="E217" s="25"/>
      <c r="F217" s="39"/>
      <c r="H217"/>
      <c r="I217"/>
      <c r="J217"/>
      <c r="K217"/>
      <c r="L217"/>
      <c r="M217"/>
      <c r="N217"/>
      <c r="O217"/>
      <c r="P217"/>
      <c r="Q217"/>
      <c r="R217"/>
      <c r="S217"/>
      <c r="T217"/>
      <c r="U217"/>
      <c r="V217"/>
      <c r="W217"/>
      <c r="X217"/>
      <c r="Y217"/>
      <c r="Z217"/>
      <c r="AA217"/>
      <c r="AB217"/>
      <c r="AC217"/>
      <c r="AD217" s="335"/>
      <c r="AE217"/>
      <c r="AF217"/>
      <c r="AG217"/>
      <c r="AH217"/>
      <c r="AI217"/>
      <c r="AJ217"/>
      <c r="AK217"/>
      <c r="AL217"/>
      <c r="AM217"/>
      <c r="AN217"/>
      <c r="AO217"/>
      <c r="AP217"/>
      <c r="AQ217"/>
      <c r="AR217"/>
      <c r="AS217"/>
      <c r="AT217"/>
      <c r="AU217"/>
      <c r="AV217"/>
      <c r="AW217"/>
      <c r="AX217"/>
      <c r="AY217"/>
      <c r="AZ217"/>
      <c r="BA217"/>
    </row>
    <row r="218" spans="1:53" s="76" customFormat="1" ht="14.25">
      <c r="A218" s="25"/>
      <c r="B218" s="25"/>
      <c r="C218" s="412" t="s">
        <v>580</v>
      </c>
      <c r="D218" s="39"/>
      <c r="E218" s="39"/>
      <c r="F218" s="39"/>
      <c r="H218"/>
      <c r="I218"/>
      <c r="J218"/>
      <c r="K218"/>
      <c r="L218"/>
      <c r="M218"/>
      <c r="N218"/>
      <c r="O218"/>
      <c r="P218"/>
      <c r="Q218"/>
      <c r="R218"/>
      <c r="S218"/>
      <c r="T218"/>
      <c r="U218"/>
      <c r="V218"/>
      <c r="W218"/>
      <c r="X218"/>
      <c r="Y218"/>
      <c r="Z218"/>
      <c r="AA218"/>
      <c r="AB218"/>
      <c r="AC218"/>
      <c r="AD218" s="335"/>
      <c r="AE218"/>
      <c r="AF218"/>
      <c r="AG218"/>
      <c r="AH218"/>
      <c r="AI218"/>
      <c r="AJ218"/>
      <c r="AK218"/>
      <c r="AL218"/>
      <c r="AM218"/>
      <c r="AN218"/>
      <c r="AO218"/>
      <c r="AP218"/>
      <c r="AQ218"/>
      <c r="AR218"/>
      <c r="AS218"/>
      <c r="AT218"/>
      <c r="AU218"/>
      <c r="AV218"/>
      <c r="AW218"/>
      <c r="AX218"/>
      <c r="AY218"/>
      <c r="AZ218"/>
      <c r="BA218"/>
    </row>
    <row r="219" spans="1:53" s="76" customFormat="1" ht="15.75">
      <c r="A219" s="25"/>
      <c r="B219" s="25"/>
      <c r="C219" s="401" t="s">
        <v>1</v>
      </c>
      <c r="D219" s="418">
        <f>SUM(D220:D223)</f>
        <v>6401.16285665553</v>
      </c>
      <c r="E219" s="39"/>
      <c r="F219" s="422"/>
      <c r="G219" s="422"/>
      <c r="H219" s="422"/>
      <c r="I219" s="422"/>
      <c r="J219" s="422"/>
      <c r="K219" s="422"/>
      <c r="L219" s="422"/>
      <c r="M219" s="422"/>
      <c r="N219" s="422"/>
      <c r="O219" s="422"/>
      <c r="P219" s="422"/>
      <c r="Q219" s="422"/>
      <c r="R219" s="422"/>
      <c r="S219" s="422"/>
      <c r="T219" s="422"/>
      <c r="U219" s="422"/>
      <c r="V219" s="422"/>
      <c r="W219" s="422"/>
      <c r="X219" s="422"/>
      <c r="Y219" s="422"/>
      <c r="Z219" s="422"/>
      <c r="AA219" s="422"/>
      <c r="AB219" s="422"/>
      <c r="AC219" s="422"/>
      <c r="AD219" s="335"/>
      <c r="AE219"/>
      <c r="AF219"/>
      <c r="AG219"/>
      <c r="AH219"/>
      <c r="AI219"/>
      <c r="AJ219"/>
      <c r="AK219"/>
      <c r="AL219"/>
      <c r="AM219"/>
      <c r="AN219"/>
      <c r="AO219"/>
      <c r="AP219"/>
      <c r="AQ219"/>
      <c r="AR219"/>
      <c r="AS219"/>
      <c r="AT219"/>
      <c r="AU219"/>
      <c r="AV219"/>
      <c r="AW219"/>
      <c r="AX219"/>
      <c r="AY219"/>
      <c r="AZ219"/>
      <c r="BA219"/>
    </row>
    <row r="220" spans="1:53" s="76" customFormat="1" ht="15.75">
      <c r="A220" s="25"/>
      <c r="B220" s="25"/>
      <c r="C220" s="403" t="s">
        <v>196</v>
      </c>
      <c r="D220" s="416">
        <f>-SUM(F220:AC220)/1000</f>
        <v>3864.7027981828946</v>
      </c>
      <c r="E220" s="39"/>
      <c r="F220" s="422">
        <f t="shared" ref="F220:AC220" si="83">F199*F$189</f>
        <v>0</v>
      </c>
      <c r="G220" s="422">
        <f t="shared" si="83"/>
        <v>-1634307.1778678482</v>
      </c>
      <c r="H220" s="422">
        <f t="shared" si="83"/>
        <v>-2230395.6203150465</v>
      </c>
      <c r="I220" s="422">
        <f t="shared" si="83"/>
        <v>0</v>
      </c>
      <c r="J220" s="422">
        <f t="shared" si="83"/>
        <v>0</v>
      </c>
      <c r="K220" s="422">
        <f t="shared" si="83"/>
        <v>0</v>
      </c>
      <c r="L220" s="422">
        <f t="shared" si="83"/>
        <v>0</v>
      </c>
      <c r="M220" s="422">
        <f t="shared" si="83"/>
        <v>0</v>
      </c>
      <c r="N220" s="422">
        <f t="shared" si="83"/>
        <v>0</v>
      </c>
      <c r="O220" s="422">
        <f t="shared" si="83"/>
        <v>0</v>
      </c>
      <c r="P220" s="422">
        <f t="shared" si="83"/>
        <v>0</v>
      </c>
      <c r="Q220" s="422">
        <f t="shared" si="83"/>
        <v>0</v>
      </c>
      <c r="R220" s="422">
        <f t="shared" si="83"/>
        <v>0</v>
      </c>
      <c r="S220" s="422">
        <f t="shared" si="83"/>
        <v>0</v>
      </c>
      <c r="T220" s="422">
        <f t="shared" si="83"/>
        <v>0</v>
      </c>
      <c r="U220" s="422">
        <f t="shared" si="83"/>
        <v>0</v>
      </c>
      <c r="V220" s="422">
        <f t="shared" si="83"/>
        <v>0</v>
      </c>
      <c r="W220" s="422">
        <f t="shared" si="83"/>
        <v>0</v>
      </c>
      <c r="X220" s="422">
        <f t="shared" si="83"/>
        <v>0</v>
      </c>
      <c r="Y220" s="422">
        <f t="shared" si="83"/>
        <v>0</v>
      </c>
      <c r="Z220" s="422">
        <f t="shared" si="83"/>
        <v>0</v>
      </c>
      <c r="AA220" s="422">
        <f t="shared" si="83"/>
        <v>0</v>
      </c>
      <c r="AB220" s="422">
        <f t="shared" si="83"/>
        <v>0</v>
      </c>
      <c r="AC220" s="422">
        <f t="shared" si="83"/>
        <v>0</v>
      </c>
      <c r="AD220" s="335"/>
      <c r="AE220"/>
      <c r="AF220"/>
      <c r="AG220"/>
      <c r="AH220"/>
      <c r="AI220"/>
      <c r="AJ220"/>
      <c r="AK220"/>
      <c r="AL220"/>
      <c r="AM220"/>
      <c r="AN220"/>
      <c r="AO220"/>
      <c r="AP220"/>
      <c r="AQ220"/>
      <c r="AR220"/>
      <c r="AS220"/>
      <c r="AT220"/>
      <c r="AU220"/>
      <c r="AV220"/>
      <c r="AW220"/>
      <c r="AX220"/>
      <c r="AY220"/>
      <c r="AZ220"/>
      <c r="BA220"/>
    </row>
    <row r="221" spans="1:53" s="76" customFormat="1" ht="15.75">
      <c r="A221" s="25"/>
      <c r="B221" s="25"/>
      <c r="C221" s="403" t="s">
        <v>197</v>
      </c>
      <c r="D221" s="416">
        <f>-SUM(F221:AC221)/1000</f>
        <v>0</v>
      </c>
      <c r="E221" s="25"/>
      <c r="F221" s="422">
        <f t="shared" ref="F221:AC221" si="84">F200*F$189</f>
        <v>0</v>
      </c>
      <c r="G221" s="422">
        <f t="shared" si="84"/>
        <v>0</v>
      </c>
      <c r="H221" s="422">
        <f t="shared" si="84"/>
        <v>0</v>
      </c>
      <c r="I221" s="422">
        <f t="shared" si="84"/>
        <v>0</v>
      </c>
      <c r="J221" s="422">
        <f t="shared" si="84"/>
        <v>0</v>
      </c>
      <c r="K221" s="422">
        <f t="shared" si="84"/>
        <v>0</v>
      </c>
      <c r="L221" s="422">
        <f t="shared" si="84"/>
        <v>0</v>
      </c>
      <c r="M221" s="422">
        <f t="shared" si="84"/>
        <v>0</v>
      </c>
      <c r="N221" s="422">
        <f t="shared" si="84"/>
        <v>0</v>
      </c>
      <c r="O221" s="422">
        <f t="shared" si="84"/>
        <v>0</v>
      </c>
      <c r="P221" s="422">
        <f t="shared" si="84"/>
        <v>0</v>
      </c>
      <c r="Q221" s="422">
        <f t="shared" si="84"/>
        <v>0</v>
      </c>
      <c r="R221" s="422">
        <f t="shared" si="84"/>
        <v>0</v>
      </c>
      <c r="S221" s="422">
        <f t="shared" si="84"/>
        <v>0</v>
      </c>
      <c r="T221" s="422">
        <f t="shared" si="84"/>
        <v>0</v>
      </c>
      <c r="U221" s="422">
        <f t="shared" si="84"/>
        <v>0</v>
      </c>
      <c r="V221" s="422">
        <f t="shared" si="84"/>
        <v>0</v>
      </c>
      <c r="W221" s="422">
        <f t="shared" si="84"/>
        <v>0</v>
      </c>
      <c r="X221" s="422">
        <f t="shared" si="84"/>
        <v>0</v>
      </c>
      <c r="Y221" s="422">
        <f t="shared" si="84"/>
        <v>0</v>
      </c>
      <c r="Z221" s="422">
        <f t="shared" si="84"/>
        <v>0</v>
      </c>
      <c r="AA221" s="422">
        <f t="shared" si="84"/>
        <v>0</v>
      </c>
      <c r="AB221" s="422">
        <f t="shared" si="84"/>
        <v>0</v>
      </c>
      <c r="AC221" s="422">
        <f t="shared" si="84"/>
        <v>0</v>
      </c>
      <c r="AD221" s="335"/>
      <c r="AE221"/>
      <c r="AF221"/>
      <c r="AG221"/>
      <c r="AH221"/>
      <c r="AI221"/>
      <c r="AJ221"/>
      <c r="AK221"/>
      <c r="AL221"/>
      <c r="AM221"/>
      <c r="AN221"/>
      <c r="AO221"/>
      <c r="AP221"/>
      <c r="AQ221"/>
      <c r="AR221"/>
      <c r="AS221"/>
      <c r="AT221"/>
      <c r="AU221"/>
      <c r="AV221"/>
      <c r="AW221"/>
      <c r="AX221"/>
      <c r="AY221"/>
      <c r="AZ221"/>
      <c r="BA221"/>
    </row>
    <row r="222" spans="1:53" s="76" customFormat="1" ht="15.75">
      <c r="A222" s="25"/>
      <c r="B222" s="25"/>
      <c r="C222" s="404" t="s">
        <v>546</v>
      </c>
      <c r="D222" s="416">
        <f>-SUM(F222:AC222)/1000</f>
        <v>45.981610962982735</v>
      </c>
      <c r="E222" s="25"/>
      <c r="F222" s="422">
        <f t="shared" ref="F222:AC222" si="85">F201*F$189</f>
        <v>0</v>
      </c>
      <c r="G222" s="422">
        <f t="shared" si="85"/>
        <v>-45981.610962982733</v>
      </c>
      <c r="H222" s="422">
        <f t="shared" si="85"/>
        <v>0</v>
      </c>
      <c r="I222" s="422">
        <f t="shared" si="85"/>
        <v>0</v>
      </c>
      <c r="J222" s="422">
        <f t="shared" si="85"/>
        <v>0</v>
      </c>
      <c r="K222" s="422">
        <f t="shared" si="85"/>
        <v>0</v>
      </c>
      <c r="L222" s="422">
        <f t="shared" si="85"/>
        <v>0</v>
      </c>
      <c r="M222" s="422">
        <f t="shared" si="85"/>
        <v>0</v>
      </c>
      <c r="N222" s="422">
        <f t="shared" si="85"/>
        <v>0</v>
      </c>
      <c r="O222" s="422">
        <f t="shared" si="85"/>
        <v>0</v>
      </c>
      <c r="P222" s="422">
        <f t="shared" si="85"/>
        <v>0</v>
      </c>
      <c r="Q222" s="422">
        <f t="shared" si="85"/>
        <v>0</v>
      </c>
      <c r="R222" s="422">
        <f t="shared" si="85"/>
        <v>0</v>
      </c>
      <c r="S222" s="422">
        <f t="shared" si="85"/>
        <v>0</v>
      </c>
      <c r="T222" s="422">
        <f t="shared" si="85"/>
        <v>0</v>
      </c>
      <c r="U222" s="422">
        <f t="shared" si="85"/>
        <v>0</v>
      </c>
      <c r="V222" s="422">
        <f t="shared" si="85"/>
        <v>0</v>
      </c>
      <c r="W222" s="422">
        <f t="shared" si="85"/>
        <v>0</v>
      </c>
      <c r="X222" s="422">
        <f t="shared" si="85"/>
        <v>0</v>
      </c>
      <c r="Y222" s="422">
        <f t="shared" si="85"/>
        <v>0</v>
      </c>
      <c r="Z222" s="422">
        <f t="shared" si="85"/>
        <v>0</v>
      </c>
      <c r="AA222" s="422">
        <f t="shared" si="85"/>
        <v>0</v>
      </c>
      <c r="AB222" s="422">
        <f t="shared" si="85"/>
        <v>0</v>
      </c>
      <c r="AC222" s="422">
        <f t="shared" si="85"/>
        <v>0</v>
      </c>
      <c r="AD222" s="335"/>
      <c r="AE222"/>
      <c r="AF222"/>
      <c r="AG222"/>
      <c r="AH222"/>
      <c r="AI222"/>
      <c r="AJ222"/>
      <c r="AK222"/>
      <c r="AL222"/>
      <c r="AM222"/>
      <c r="AN222"/>
      <c r="AO222"/>
      <c r="AP222"/>
      <c r="AQ222"/>
      <c r="AR222"/>
      <c r="AS222"/>
      <c r="AT222"/>
      <c r="AU222"/>
      <c r="AV222"/>
      <c r="AW222"/>
      <c r="AX222"/>
      <c r="AY222"/>
      <c r="AZ222"/>
      <c r="BA222"/>
    </row>
    <row r="223" spans="1:53" s="76" customFormat="1" ht="15.75">
      <c r="A223" s="25"/>
      <c r="B223" s="25"/>
      <c r="C223" s="403" t="s">
        <v>198</v>
      </c>
      <c r="D223" s="416">
        <f>-SUM(F223:AC223)/1000</f>
        <v>2490.4784475096526</v>
      </c>
      <c r="E223" s="25"/>
      <c r="F223" s="422">
        <f t="shared" ref="F223:AC223" si="86">F202*F$189</f>
        <v>0</v>
      </c>
      <c r="G223" s="422">
        <f t="shared" si="86"/>
        <v>-39307.514351808117</v>
      </c>
      <c r="H223" s="422">
        <f t="shared" si="86"/>
        <v>-79197.50856047032</v>
      </c>
      <c r="I223" s="422">
        <f t="shared" si="86"/>
        <v>-79978.077358779934</v>
      </c>
      <c r="J223" s="422">
        <f t="shared" si="86"/>
        <v>-80975.675020681258</v>
      </c>
      <c r="K223" s="422">
        <f t="shared" si="86"/>
        <v>-82211.181718232678</v>
      </c>
      <c r="L223" s="422">
        <f t="shared" si="86"/>
        <v>-83707.621789557365</v>
      </c>
      <c r="M223" s="422">
        <f t="shared" si="86"/>
        <v>-85490.388659746488</v>
      </c>
      <c r="N223" s="422">
        <f t="shared" si="86"/>
        <v>-87227.900439848614</v>
      </c>
      <c r="O223" s="422">
        <f t="shared" si="86"/>
        <v>-89331.598302611295</v>
      </c>
      <c r="P223" s="422">
        <f t="shared" si="86"/>
        <v>-91834.661478012174</v>
      </c>
      <c r="Q223" s="422">
        <f t="shared" si="86"/>
        <v>-94773.83076622324</v>
      </c>
      <c r="R223" s="422">
        <f t="shared" si="86"/>
        <v>-98189.774835806515</v>
      </c>
      <c r="S223" s="422">
        <f t="shared" si="86"/>
        <v>-102127.49457494546</v>
      </c>
      <c r="T223" s="422">
        <f t="shared" si="86"/>
        <v>-106636.76943976508</v>
      </c>
      <c r="U223" s="422">
        <f t="shared" si="86"/>
        <v>-111772.65015278505</v>
      </c>
      <c r="V223" s="422">
        <f t="shared" si="86"/>
        <v>-117596.00255594797</v>
      </c>
      <c r="W223" s="422">
        <f t="shared" si="86"/>
        <v>-124174.10792086803</v>
      </c>
      <c r="X223" s="422">
        <f t="shared" si="86"/>
        <v>-131585.02633927722</v>
      </c>
      <c r="Y223" s="422">
        <f t="shared" si="86"/>
        <v>-139907.01022182489</v>
      </c>
      <c r="Z223" s="422">
        <f t="shared" si="86"/>
        <v>-149230.85447307903</v>
      </c>
      <c r="AA223" s="422">
        <f t="shared" si="86"/>
        <v>-159656.86141201141</v>
      </c>
      <c r="AB223" s="422">
        <f t="shared" si="86"/>
        <v>-171295.82429044539</v>
      </c>
      <c r="AC223" s="422">
        <f t="shared" si="86"/>
        <v>-184270.11284692425</v>
      </c>
      <c r="AD223" s="335"/>
      <c r="AE223"/>
      <c r="AF223"/>
      <c r="AG223"/>
      <c r="AH223"/>
      <c r="AI223"/>
      <c r="AJ223"/>
      <c r="AK223"/>
      <c r="AL223"/>
      <c r="AM223"/>
      <c r="AN223"/>
      <c r="AO223"/>
      <c r="AP223"/>
      <c r="AQ223"/>
      <c r="AR223"/>
      <c r="AS223"/>
      <c r="AT223"/>
      <c r="AU223"/>
      <c r="AV223"/>
      <c r="AW223"/>
      <c r="AX223"/>
      <c r="AY223"/>
      <c r="AZ223"/>
      <c r="BA223"/>
    </row>
    <row r="224" spans="1:53" s="76" customFormat="1" ht="15.75">
      <c r="A224" s="25"/>
      <c r="B224" s="25"/>
      <c r="C224" s="402"/>
      <c r="D224" s="417"/>
      <c r="E224" s="25"/>
      <c r="F224" s="414">
        <f>SUM(F220:F223)</f>
        <v>0</v>
      </c>
      <c r="G224" s="414">
        <f t="shared" ref="G224:AC224" si="87">SUM(G220:G223)</f>
        <v>-1719596.3031826392</v>
      </c>
      <c r="H224" s="414">
        <f t="shared" si="87"/>
        <v>-2309593.1288755168</v>
      </c>
      <c r="I224" s="414">
        <f t="shared" si="87"/>
        <v>-79978.077358779934</v>
      </c>
      <c r="J224" s="414">
        <f t="shared" si="87"/>
        <v>-80975.675020681258</v>
      </c>
      <c r="K224" s="414">
        <f t="shared" si="87"/>
        <v>-82211.181718232678</v>
      </c>
      <c r="L224" s="414">
        <f t="shared" si="87"/>
        <v>-83707.621789557365</v>
      </c>
      <c r="M224" s="414">
        <f t="shared" si="87"/>
        <v>-85490.388659746488</v>
      </c>
      <c r="N224" s="414">
        <f t="shared" si="87"/>
        <v>-87227.900439848614</v>
      </c>
      <c r="O224" s="414">
        <f t="shared" si="87"/>
        <v>-89331.598302611295</v>
      </c>
      <c r="P224" s="414">
        <f t="shared" si="87"/>
        <v>-91834.661478012174</v>
      </c>
      <c r="Q224" s="414">
        <f t="shared" si="87"/>
        <v>-94773.83076622324</v>
      </c>
      <c r="R224" s="414">
        <f t="shared" si="87"/>
        <v>-98189.774835806515</v>
      </c>
      <c r="S224" s="414">
        <f t="shared" si="87"/>
        <v>-102127.49457494546</v>
      </c>
      <c r="T224" s="414">
        <f t="shared" si="87"/>
        <v>-106636.76943976508</v>
      </c>
      <c r="U224" s="414">
        <f t="shared" si="87"/>
        <v>-111772.65015278505</v>
      </c>
      <c r="V224" s="414">
        <f t="shared" si="87"/>
        <v>-117596.00255594797</v>
      </c>
      <c r="W224" s="414">
        <f t="shared" si="87"/>
        <v>-124174.10792086803</v>
      </c>
      <c r="X224" s="414">
        <f t="shared" si="87"/>
        <v>-131585.02633927722</v>
      </c>
      <c r="Y224" s="414">
        <f t="shared" si="87"/>
        <v>-139907.01022182489</v>
      </c>
      <c r="Z224" s="414">
        <f t="shared" si="87"/>
        <v>-149230.85447307903</v>
      </c>
      <c r="AA224" s="414">
        <f t="shared" si="87"/>
        <v>-159656.86141201141</v>
      </c>
      <c r="AB224" s="414">
        <f t="shared" si="87"/>
        <v>-171295.82429044539</v>
      </c>
      <c r="AC224" s="414">
        <f t="shared" si="87"/>
        <v>-184270.11284692425</v>
      </c>
      <c r="AD224" s="335"/>
      <c r="AE224"/>
      <c r="AF224"/>
      <c r="AG224"/>
      <c r="AH224"/>
      <c r="AI224"/>
      <c r="AJ224"/>
      <c r="AK224"/>
      <c r="AL224"/>
      <c r="AM224"/>
      <c r="AN224"/>
      <c r="AO224"/>
      <c r="AP224"/>
      <c r="AQ224"/>
      <c r="AR224"/>
      <c r="AS224"/>
      <c r="AT224"/>
      <c r="AU224"/>
      <c r="AV224"/>
      <c r="AW224"/>
      <c r="AX224"/>
      <c r="AY224"/>
      <c r="AZ224"/>
      <c r="BA224"/>
    </row>
    <row r="225" spans="1:53" s="76" customFormat="1" ht="15.75">
      <c r="A225" s="25"/>
      <c r="B225" s="25"/>
      <c r="C225" s="401" t="s">
        <v>0</v>
      </c>
      <c r="D225" s="418">
        <f>SUM(D226:D232)</f>
        <v>13028.559666965259</v>
      </c>
      <c r="E225" s="25"/>
      <c r="F225" s="406"/>
      <c r="G225" s="406"/>
      <c r="H225" s="406"/>
      <c r="I225" s="406"/>
      <c r="J225" s="406"/>
      <c r="K225" s="406"/>
      <c r="L225" s="406"/>
      <c r="M225" s="406"/>
      <c r="N225" s="406"/>
      <c r="O225" s="406"/>
      <c r="P225" s="406"/>
      <c r="Q225" s="406"/>
      <c r="R225" s="406"/>
      <c r="S225" s="406"/>
      <c r="T225" s="406"/>
      <c r="U225" s="406"/>
      <c r="V225" s="406"/>
      <c r="W225" s="406"/>
      <c r="X225" s="406"/>
      <c r="Y225" s="406"/>
      <c r="Z225" s="406"/>
      <c r="AA225" s="406"/>
      <c r="AB225" s="406"/>
      <c r="AC225" s="406"/>
      <c r="AD225" s="335"/>
      <c r="AE225"/>
      <c r="AF225"/>
      <c r="AG225"/>
      <c r="AH225"/>
      <c r="AI225"/>
      <c r="AJ225"/>
      <c r="AK225"/>
      <c r="AL225"/>
      <c r="AM225"/>
      <c r="AN225"/>
      <c r="AO225"/>
      <c r="AP225"/>
      <c r="AQ225"/>
      <c r="AR225"/>
      <c r="AS225"/>
      <c r="AT225"/>
      <c r="AU225"/>
      <c r="AV225"/>
      <c r="AW225"/>
      <c r="AX225"/>
      <c r="AY225"/>
      <c r="AZ225"/>
      <c r="BA225"/>
    </row>
    <row r="226" spans="1:53" s="76" customFormat="1" ht="15.75">
      <c r="A226" s="25"/>
      <c r="B226" s="25"/>
      <c r="C226" s="403" t="s">
        <v>577</v>
      </c>
      <c r="D226" s="416">
        <f t="shared" ref="D226:D232" si="88">SUM(F226:AC226)/1000</f>
        <v>1874.0217485109554</v>
      </c>
      <c r="E226" s="25"/>
      <c r="F226" s="424">
        <f t="shared" ref="F226:AC226" si="89">F205*F$189</f>
        <v>0</v>
      </c>
      <c r="G226" s="424">
        <f t="shared" si="89"/>
        <v>51401.012360205714</v>
      </c>
      <c r="H226" s="424">
        <f t="shared" si="89"/>
        <v>101209.58606763073</v>
      </c>
      <c r="I226" s="424">
        <f t="shared" si="89"/>
        <v>99632.132465641829</v>
      </c>
      <c r="J226" s="424">
        <f t="shared" si="89"/>
        <v>98069.959994079327</v>
      </c>
      <c r="K226" s="424">
        <f t="shared" si="89"/>
        <v>96523.344950362065</v>
      </c>
      <c r="L226" s="424">
        <f t="shared" si="89"/>
        <v>94992.545948276093</v>
      </c>
      <c r="M226" s="424">
        <f t="shared" si="89"/>
        <v>93477.806117120053</v>
      </c>
      <c r="N226" s="424">
        <f t="shared" si="89"/>
        <v>91364.008500058873</v>
      </c>
      <c r="O226" s="424">
        <f t="shared" si="89"/>
        <v>89298.100506164206</v>
      </c>
      <c r="P226" s="424">
        <f t="shared" si="89"/>
        <v>87279.071389018078</v>
      </c>
      <c r="Q226" s="424">
        <f t="shared" si="89"/>
        <v>85305.948008728519</v>
      </c>
      <c r="R226" s="424">
        <f t="shared" si="89"/>
        <v>83377.796493699003</v>
      </c>
      <c r="S226" s="424">
        <f t="shared" si="89"/>
        <v>81493.724223893994</v>
      </c>
      <c r="T226" s="424">
        <f t="shared" si="89"/>
        <v>79652.882177284773</v>
      </c>
      <c r="U226" s="424">
        <f t="shared" si="89"/>
        <v>77854.467686599237</v>
      </c>
      <c r="V226" s="424">
        <f t="shared" si="89"/>
        <v>76097.727659624215</v>
      </c>
      <c r="W226" s="424">
        <f t="shared" si="89"/>
        <v>74381.962323210595</v>
      </c>
      <c r="X226" s="424">
        <f t="shared" si="89"/>
        <v>72713.106803588948</v>
      </c>
      <c r="Y226" s="424">
        <f t="shared" si="89"/>
        <v>71083.670610585876</v>
      </c>
      <c r="Z226" s="424">
        <f t="shared" si="89"/>
        <v>69493.155655188413</v>
      </c>
      <c r="AA226" s="424">
        <f t="shared" si="89"/>
        <v>67941.138424103454</v>
      </c>
      <c r="AB226" s="424">
        <f t="shared" si="89"/>
        <v>66427.277568297606</v>
      </c>
      <c r="AC226" s="424">
        <f t="shared" si="89"/>
        <v>64951.322577593419</v>
      </c>
      <c r="AD226" s="335"/>
      <c r="AE226"/>
      <c r="AF226"/>
      <c r="AG226"/>
      <c r="AH226"/>
      <c r="AI226"/>
      <c r="AJ226"/>
      <c r="AK226"/>
      <c r="AL226"/>
      <c r="AM226"/>
      <c r="AN226"/>
      <c r="AO226"/>
      <c r="AP226"/>
      <c r="AQ226"/>
      <c r="AR226"/>
      <c r="AS226"/>
      <c r="AT226"/>
      <c r="AU226"/>
      <c r="AV226"/>
      <c r="AW226"/>
      <c r="AX226"/>
      <c r="AY226"/>
      <c r="AZ226"/>
      <c r="BA226"/>
    </row>
    <row r="227" spans="1:53" s="76" customFormat="1" ht="15.75">
      <c r="A227" s="25"/>
      <c r="B227" s="25"/>
      <c r="C227" s="403" t="s">
        <v>578</v>
      </c>
      <c r="D227" s="416">
        <f t="shared" si="88"/>
        <v>3085.0995231240854</v>
      </c>
      <c r="E227" s="25"/>
      <c r="F227" s="422">
        <f t="shared" ref="F227:AC227" si="90">F206*F$189</f>
        <v>0</v>
      </c>
      <c r="G227" s="422">
        <f t="shared" si="90"/>
        <v>85913.636127087913</v>
      </c>
      <c r="H227" s="422">
        <f t="shared" si="90"/>
        <v>168686.95899439414</v>
      </c>
      <c r="I227" s="422">
        <f t="shared" si="90"/>
        <v>165602.26595442728</v>
      </c>
      <c r="J227" s="422">
        <f t="shared" si="90"/>
        <v>162574.53092239573</v>
      </c>
      <c r="K227" s="422">
        <f t="shared" si="90"/>
        <v>159605.16500874632</v>
      </c>
      <c r="L227" s="422">
        <f t="shared" si="90"/>
        <v>156695.66781588894</v>
      </c>
      <c r="M227" s="422">
        <f t="shared" si="90"/>
        <v>153847.64379544577</v>
      </c>
      <c r="N227" s="422">
        <f t="shared" si="90"/>
        <v>150067.19179711587</v>
      </c>
      <c r="O227" s="422">
        <f t="shared" si="90"/>
        <v>146409.80639343575</v>
      </c>
      <c r="P227" s="422">
        <f t="shared" si="90"/>
        <v>142874.98489271666</v>
      </c>
      <c r="Q227" s="422">
        <f t="shared" si="90"/>
        <v>139462.50816044246</v>
      </c>
      <c r="R227" s="422">
        <f t="shared" si="90"/>
        <v>136172.46171870103</v>
      </c>
      <c r="S227" s="422">
        <f t="shared" si="90"/>
        <v>133005.25923226666</v>
      </c>
      <c r="T227" s="422">
        <f t="shared" si="90"/>
        <v>129961.6686242634</v>
      </c>
      <c r="U227" s="422">
        <f t="shared" si="90"/>
        <v>127042.84108962257</v>
      </c>
      <c r="V227" s="422">
        <f t="shared" si="90"/>
        <v>124250.34330245445</v>
      </c>
      <c r="W227" s="422">
        <f t="shared" si="90"/>
        <v>121586.19314424926</v>
      </c>
      <c r="X227" s="422">
        <f t="shared" si="90"/>
        <v>119063.14588763437</v>
      </c>
      <c r="Y227" s="422">
        <f t="shared" si="90"/>
        <v>116673.40147719605</v>
      </c>
      <c r="Z227" s="422">
        <f t="shared" si="90"/>
        <v>114420.61271420663</v>
      </c>
      <c r="AA227" s="422">
        <f t="shared" si="90"/>
        <v>112309.06852017545</v>
      </c>
      <c r="AB227" s="422">
        <f t="shared" si="90"/>
        <v>110343.75353063035</v>
      </c>
      <c r="AC227" s="422">
        <f t="shared" si="90"/>
        <v>108530.41402058865</v>
      </c>
      <c r="AD227" s="335"/>
      <c r="AE227"/>
      <c r="AF227"/>
      <c r="AG227"/>
      <c r="AH227"/>
      <c r="AI227"/>
      <c r="AJ227"/>
      <c r="AK227"/>
      <c r="AL227"/>
      <c r="AM227"/>
      <c r="AN227"/>
      <c r="AO227"/>
      <c r="AP227"/>
      <c r="AQ227"/>
      <c r="AR227"/>
      <c r="AS227"/>
      <c r="AT227"/>
      <c r="AU227"/>
      <c r="AV227"/>
      <c r="AW227"/>
      <c r="AX227"/>
      <c r="AY227"/>
      <c r="AZ227"/>
      <c r="BA227"/>
    </row>
    <row r="228" spans="1:53" s="76" customFormat="1" ht="15.75">
      <c r="A228" s="25"/>
      <c r="B228" s="25"/>
      <c r="C228" s="403" t="s">
        <v>199</v>
      </c>
      <c r="D228" s="416">
        <f t="shared" si="88"/>
        <v>186.86231551215806</v>
      </c>
      <c r="E228" s="25"/>
      <c r="F228" s="422">
        <f t="shared" ref="F228:AC228" si="91">F207*F$189</f>
        <v>0</v>
      </c>
      <c r="G228" s="422">
        <f t="shared" si="91"/>
        <v>3329.116455520038</v>
      </c>
      <c r="H228" s="422">
        <f t="shared" si="91"/>
        <v>6750.0912422675729</v>
      </c>
      <c r="I228" s="422">
        <f t="shared" si="91"/>
        <v>6846.3214676416201</v>
      </c>
      <c r="J228" s="422">
        <f t="shared" si="91"/>
        <v>6947.7498402273986</v>
      </c>
      <c r="K228" s="422">
        <f t="shared" si="91"/>
        <v>7055.2818242883841</v>
      </c>
      <c r="L228" s="422">
        <f t="shared" si="91"/>
        <v>7169.9104220061199</v>
      </c>
      <c r="M228" s="422">
        <f t="shared" si="91"/>
        <v>7292.7253931720325</v>
      </c>
      <c r="N228" s="422">
        <f t="shared" si="91"/>
        <v>7384.0082233476342</v>
      </c>
      <c r="O228" s="422">
        <f t="shared" si="91"/>
        <v>7486.6984586522467</v>
      </c>
      <c r="P228" s="422">
        <f t="shared" si="91"/>
        <v>7602.2667544631176</v>
      </c>
      <c r="Q228" s="422">
        <f t="shared" si="91"/>
        <v>7732.3256557711356</v>
      </c>
      <c r="R228" s="422">
        <f t="shared" si="91"/>
        <v>7878.6450535598678</v>
      </c>
      <c r="S228" s="422">
        <f t="shared" si="91"/>
        <v>8043.169261873064</v>
      </c>
      <c r="T228" s="422">
        <f t="shared" si="91"/>
        <v>8228.0358876157134</v>
      </c>
      <c r="U228" s="422">
        <f t="shared" si="91"/>
        <v>8435.596683372718</v>
      </c>
      <c r="V228" s="422">
        <f t="shared" si="91"/>
        <v>8668.4405937072388</v>
      </c>
      <c r="W228" s="422">
        <f t="shared" si="91"/>
        <v>8929.4192277227357</v>
      </c>
      <c r="X228" s="422">
        <f t="shared" si="91"/>
        <v>9222.1877324779161</v>
      </c>
      <c r="Y228" s="422">
        <f t="shared" si="91"/>
        <v>9549.6864075470439</v>
      </c>
      <c r="Z228" s="422">
        <f t="shared" si="91"/>
        <v>9915.7358679274894</v>
      </c>
      <c r="AA228" s="422">
        <f t="shared" si="91"/>
        <v>10324.551146488977</v>
      </c>
      <c r="AB228" s="422">
        <f t="shared" si="91"/>
        <v>10780.78375048696</v>
      </c>
      <c r="AC228" s="422">
        <f t="shared" si="91"/>
        <v>11289.568162021034</v>
      </c>
      <c r="AD228" s="335"/>
      <c r="AE228"/>
      <c r="AF228"/>
      <c r="AG228"/>
      <c r="AH228"/>
      <c r="AI228"/>
      <c r="AJ228"/>
      <c r="AK228"/>
      <c r="AL228"/>
      <c r="AM228"/>
      <c r="AN228"/>
      <c r="AO228"/>
      <c r="AP228"/>
      <c r="AQ228"/>
      <c r="AR228"/>
      <c r="AS228"/>
      <c r="AT228"/>
      <c r="AU228"/>
      <c r="AV228"/>
      <c r="AW228"/>
      <c r="AX228"/>
      <c r="AY228"/>
      <c r="AZ228"/>
      <c r="BA228"/>
    </row>
    <row r="229" spans="1:53" s="76" customFormat="1" ht="15.75">
      <c r="A229" s="25"/>
      <c r="B229" s="25"/>
      <c r="C229" s="403" t="s">
        <v>200</v>
      </c>
      <c r="D229" s="416">
        <f t="shared" si="88"/>
        <v>743.7183699579374</v>
      </c>
      <c r="E229" s="25"/>
      <c r="F229" s="422">
        <f t="shared" ref="F229:AC229" si="92">F208*F$189</f>
        <v>0</v>
      </c>
      <c r="G229" s="422">
        <f t="shared" si="92"/>
        <v>4998.6337314466928</v>
      </c>
      <c r="H229" s="422">
        <f t="shared" si="92"/>
        <v>42268.632654132256</v>
      </c>
      <c r="I229" s="422">
        <f t="shared" si="92"/>
        <v>41468.33795259436</v>
      </c>
      <c r="J229" s="422">
        <f t="shared" si="92"/>
        <v>40679.980466208217</v>
      </c>
      <c r="K229" s="422">
        <f t="shared" si="92"/>
        <v>39903.665693623407</v>
      </c>
      <c r="L229" s="422">
        <f t="shared" si="92"/>
        <v>39139.495506216175</v>
      </c>
      <c r="M229" s="422">
        <f t="shared" si="92"/>
        <v>38387.569581045274</v>
      </c>
      <c r="N229" s="422">
        <f t="shared" si="92"/>
        <v>37397.184566095828</v>
      </c>
      <c r="O229" s="422">
        <f t="shared" si="92"/>
        <v>36433.852447875623</v>
      </c>
      <c r="P229" s="422">
        <f t="shared" si="92"/>
        <v>35497.037228715402</v>
      </c>
      <c r="Q229" s="422">
        <f t="shared" si="92"/>
        <v>34586.231892951146</v>
      </c>
      <c r="R229" s="422">
        <f t="shared" si="92"/>
        <v>33700.959320638991</v>
      </c>
      <c r="S229" s="422">
        <f t="shared" si="92"/>
        <v>32840.773346107824</v>
      </c>
      <c r="T229" s="422">
        <f t="shared" si="92"/>
        <v>32005.259975223355</v>
      </c>
      <c r="U229" s="422">
        <f t="shared" si="92"/>
        <v>31194.038776700843</v>
      </c>
      <c r="V229" s="422">
        <f t="shared" si="92"/>
        <v>30406.764464417251</v>
      </c>
      <c r="W229" s="422">
        <f t="shared" si="92"/>
        <v>29643.128689454599</v>
      </c>
      <c r="X229" s="422">
        <f t="shared" si="92"/>
        <v>28905.443211525988</v>
      </c>
      <c r="Y229" s="422">
        <f t="shared" si="92"/>
        <v>28190.748369685596</v>
      </c>
      <c r="Z229" s="422">
        <f t="shared" si="92"/>
        <v>27498.866368939318</v>
      </c>
      <c r="AA229" s="422">
        <f t="shared" si="92"/>
        <v>26829.665809710525</v>
      </c>
      <c r="AB229" s="422">
        <f t="shared" si="92"/>
        <v>26183.064895159288</v>
      </c>
      <c r="AC229" s="422">
        <f t="shared" si="92"/>
        <v>25559.035009469346</v>
      </c>
      <c r="AD229" s="335"/>
      <c r="AE229"/>
      <c r="AF229"/>
      <c r="AG229"/>
      <c r="AH229"/>
      <c r="AI229"/>
      <c r="AJ229"/>
      <c r="AK229"/>
      <c r="AL229"/>
      <c r="AM229"/>
      <c r="AN229"/>
      <c r="AO229"/>
      <c r="AP229"/>
      <c r="AQ229"/>
      <c r="AR229"/>
      <c r="AS229"/>
      <c r="AT229"/>
      <c r="AU229"/>
      <c r="AV229"/>
      <c r="AW229"/>
      <c r="AX229"/>
      <c r="AY229"/>
      <c r="AZ229"/>
      <c r="BA229"/>
    </row>
    <row r="230" spans="1:53" ht="15.75">
      <c r="C230" s="403" t="s">
        <v>201</v>
      </c>
      <c r="D230" s="416">
        <f t="shared" si="88"/>
        <v>897.33728904406246</v>
      </c>
      <c r="F230" s="422">
        <f t="shared" ref="F230:AC230" si="93">F209*F$189</f>
        <v>0</v>
      </c>
      <c r="G230" s="422">
        <f t="shared" si="93"/>
        <v>35159.131344960195</v>
      </c>
      <c r="H230" s="422">
        <f t="shared" si="93"/>
        <v>65960.592292805915</v>
      </c>
      <c r="I230" s="422">
        <f t="shared" si="93"/>
        <v>61775.955104077831</v>
      </c>
      <c r="J230" s="422">
        <f t="shared" si="93"/>
        <v>57828.80544120002</v>
      </c>
      <c r="K230" s="422">
        <f t="shared" si="93"/>
        <v>53974.79167690561</v>
      </c>
      <c r="L230" s="422">
        <f t="shared" si="93"/>
        <v>50239.255278685399</v>
      </c>
      <c r="M230" s="422">
        <f t="shared" si="93"/>
        <v>46616.687229042007</v>
      </c>
      <c r="N230" s="422">
        <f t="shared" si="93"/>
        <v>42901.866018575245</v>
      </c>
      <c r="O230" s="422">
        <f t="shared" si="93"/>
        <v>39793.012730891467</v>
      </c>
      <c r="P230" s="422">
        <f t="shared" si="93"/>
        <v>38474.087672821712</v>
      </c>
      <c r="Q230" s="422">
        <f t="shared" si="93"/>
        <v>37198.736537674216</v>
      </c>
      <c r="R230" s="422">
        <f t="shared" si="93"/>
        <v>35977.93221203806</v>
      </c>
      <c r="S230" s="422">
        <f t="shared" si="93"/>
        <v>34799.542772987748</v>
      </c>
      <c r="T230" s="422">
        <f t="shared" si="93"/>
        <v>33673.861581950165</v>
      </c>
      <c r="U230" s="422">
        <f t="shared" si="93"/>
        <v>32589.733133163445</v>
      </c>
      <c r="V230" s="422">
        <f t="shared" si="93"/>
        <v>31556.850616376472</v>
      </c>
      <c r="W230" s="422">
        <f t="shared" si="93"/>
        <v>30564.98136075569</v>
      </c>
      <c r="X230" s="422">
        <f t="shared" si="93"/>
        <v>29621.471954198791</v>
      </c>
      <c r="Y230" s="422">
        <f t="shared" si="93"/>
        <v>28727.877807442794</v>
      </c>
      <c r="Z230" s="422">
        <f t="shared" si="93"/>
        <v>28190.338455865927</v>
      </c>
      <c r="AA230" s="422">
        <f t="shared" si="93"/>
        <v>27691.272529522641</v>
      </c>
      <c r="AB230" s="422">
        <f t="shared" si="93"/>
        <v>27223.550097451287</v>
      </c>
      <c r="AC230" s="422">
        <f t="shared" si="93"/>
        <v>26796.95519466955</v>
      </c>
    </row>
    <row r="231" spans="1:53" ht="15.75">
      <c r="C231" s="403" t="s">
        <v>579</v>
      </c>
      <c r="D231" s="416">
        <f t="shared" si="88"/>
        <v>0.27684891230433234</v>
      </c>
      <c r="F231" s="422">
        <f t="shared" ref="F231:AC231" si="94">F210*F$189</f>
        <v>0</v>
      </c>
      <c r="G231" s="422">
        <f t="shared" si="94"/>
        <v>1.6652348041851088</v>
      </c>
      <c r="H231" s="422">
        <f t="shared" si="94"/>
        <v>3.6758037386361768</v>
      </c>
      <c r="I231" s="422">
        <f t="shared" si="94"/>
        <v>4.0569453301763172</v>
      </c>
      <c r="J231" s="422">
        <f t="shared" si="94"/>
        <v>4.4776072343149877</v>
      </c>
      <c r="K231" s="422">
        <f t="shared" si="94"/>
        <v>4.9418872854070655</v>
      </c>
      <c r="L231" s="422">
        <f t="shared" si="94"/>
        <v>5.4543082194667489</v>
      </c>
      <c r="M231" s="422">
        <f t="shared" si="94"/>
        <v>6.0198617319318473</v>
      </c>
      <c r="N231" s="422">
        <f t="shared" si="94"/>
        <v>6.6440571037476923</v>
      </c>
      <c r="O231" s="422">
        <f t="shared" si="94"/>
        <v>7.3329748694566765</v>
      </c>
      <c r="P231" s="422">
        <f t="shared" si="94"/>
        <v>8.0933260500954862</v>
      </c>
      <c r="Q231" s="422">
        <f t="shared" si="94"/>
        <v>8.9325175279112141</v>
      </c>
      <c r="R231" s="422">
        <f t="shared" si="94"/>
        <v>9.8587241997373454</v>
      </c>
      <c r="S231" s="422">
        <f t="shared" si="94"/>
        <v>10.880968611904285</v>
      </c>
      <c r="T231" s="422">
        <f t="shared" si="94"/>
        <v>12.009208852439604</v>
      </c>
      <c r="U231" s="422">
        <f t="shared" si="94"/>
        <v>13.254435556750819</v>
      </c>
      <c r="V231" s="422">
        <f t="shared" si="94"/>
        <v>14.628778971761488</v>
      </c>
      <c r="W231" s="422">
        <f t="shared" si="94"/>
        <v>16.145627121454815</v>
      </c>
      <c r="X231" s="422">
        <f t="shared" si="94"/>
        <v>17.819756224922173</v>
      </c>
      <c r="Y231" s="422">
        <f t="shared" si="94"/>
        <v>19.667474637370415</v>
      </c>
      <c r="Z231" s="422">
        <f t="shared" si="94"/>
        <v>21.706781716274453</v>
      </c>
      <c r="AA231" s="422">
        <f t="shared" si="94"/>
        <v>23.957543160253206</v>
      </c>
      <c r="AB231" s="422">
        <f t="shared" si="94"/>
        <v>26.441684528714404</v>
      </c>
      <c r="AC231" s="422">
        <f t="shared" si="94"/>
        <v>29.183404827419935</v>
      </c>
    </row>
    <row r="232" spans="1:53" ht="15.75">
      <c r="C232" s="403" t="s">
        <v>202</v>
      </c>
      <c r="D232" s="416">
        <f t="shared" si="88"/>
        <v>6241.2435719037567</v>
      </c>
      <c r="F232" s="422">
        <f t="shared" ref="F232:AC232" si="95">F211*F$189</f>
        <v>0</v>
      </c>
      <c r="G232" s="422">
        <f t="shared" si="95"/>
        <v>170651.40244270768</v>
      </c>
      <c r="H232" s="422">
        <f t="shared" si="95"/>
        <v>335277.13677934703</v>
      </c>
      <c r="I232" s="422">
        <f t="shared" si="95"/>
        <v>329380.07153448689</v>
      </c>
      <c r="J232" s="422">
        <f t="shared" si="95"/>
        <v>323616.19045226806</v>
      </c>
      <c r="K232" s="422">
        <f t="shared" si="95"/>
        <v>317990.42063855915</v>
      </c>
      <c r="L232" s="422">
        <f t="shared" si="95"/>
        <v>312508.0858135756</v>
      </c>
      <c r="M232" s="422">
        <f t="shared" si="95"/>
        <v>307174.96162877535</v>
      </c>
      <c r="N232" s="422">
        <f t="shared" si="95"/>
        <v>300029.77723193052</v>
      </c>
      <c r="O232" s="422">
        <f t="shared" si="95"/>
        <v>293161.57249221875</v>
      </c>
      <c r="P232" s="422">
        <f t="shared" si="95"/>
        <v>286572.85616489028</v>
      </c>
      <c r="Q232" s="422">
        <f t="shared" si="95"/>
        <v>280267.06050845393</v>
      </c>
      <c r="R232" s="422">
        <f t="shared" si="95"/>
        <v>274248.62063487363</v>
      </c>
      <c r="S232" s="422">
        <f t="shared" si="95"/>
        <v>268523.06248053309</v>
      </c>
      <c r="T232" s="422">
        <f t="shared" si="95"/>
        <v>263097.10028287064</v>
      </c>
      <c r="U232" s="422">
        <f t="shared" si="95"/>
        <v>257978.74453954276</v>
      </c>
      <c r="V232" s="422">
        <f t="shared" si="95"/>
        <v>253177.42152843738</v>
      </c>
      <c r="W232" s="422">
        <f t="shared" si="95"/>
        <v>248704.10557886187</v>
      </c>
      <c r="X232" s="422">
        <f t="shared" si="95"/>
        <v>244591.71467092805</v>
      </c>
      <c r="Y232" s="422">
        <f t="shared" si="95"/>
        <v>240833.34492923893</v>
      </c>
      <c r="Z232" s="422">
        <f t="shared" si="95"/>
        <v>237445.60805225204</v>
      </c>
      <c r="AA232" s="422">
        <f t="shared" si="95"/>
        <v>234447.34679599811</v>
      </c>
      <c r="AB232" s="422">
        <f t="shared" si="95"/>
        <v>231859.85373223654</v>
      </c>
      <c r="AC232" s="422">
        <f t="shared" si="95"/>
        <v>229707.11299076927</v>
      </c>
    </row>
    <row r="233" spans="1:53" ht="15.75">
      <c r="C233" s="402"/>
      <c r="D233" s="417"/>
      <c r="F233" s="413">
        <f>SUM(F226:F232)</f>
        <v>0</v>
      </c>
      <c r="G233" s="413">
        <f t="shared" ref="G233:AC233" si="96">SUM(G226:G232)</f>
        <v>351454.59769673238</v>
      </c>
      <c r="H233" s="413">
        <f t="shared" si="96"/>
        <v>720156.6738343162</v>
      </c>
      <c r="I233" s="413">
        <f t="shared" si="96"/>
        <v>704709.14142420003</v>
      </c>
      <c r="J233" s="413">
        <f t="shared" si="96"/>
        <v>689721.69472361309</v>
      </c>
      <c r="K233" s="413">
        <f t="shared" si="96"/>
        <v>675057.61167977029</v>
      </c>
      <c r="L233" s="413">
        <f t="shared" si="96"/>
        <v>660750.4150928678</v>
      </c>
      <c r="M233" s="413">
        <f t="shared" si="96"/>
        <v>646803.41360633238</v>
      </c>
      <c r="N233" s="413">
        <f t="shared" si="96"/>
        <v>629150.68039422773</v>
      </c>
      <c r="O233" s="413">
        <f t="shared" si="96"/>
        <v>612590.37600410753</v>
      </c>
      <c r="P233" s="413">
        <f t="shared" si="96"/>
        <v>598308.39742867532</v>
      </c>
      <c r="Q233" s="413">
        <f t="shared" si="96"/>
        <v>584561.74328154931</v>
      </c>
      <c r="R233" s="413">
        <f t="shared" si="96"/>
        <v>571366.27415771037</v>
      </c>
      <c r="S233" s="413">
        <f t="shared" si="96"/>
        <v>558716.41228627437</v>
      </c>
      <c r="T233" s="413">
        <f t="shared" si="96"/>
        <v>546630.81773806049</v>
      </c>
      <c r="U233" s="413">
        <f t="shared" si="96"/>
        <v>535108.67634455836</v>
      </c>
      <c r="V233" s="413">
        <f t="shared" si="96"/>
        <v>524172.17694398877</v>
      </c>
      <c r="W233" s="413">
        <f t="shared" si="96"/>
        <v>513825.93595137622</v>
      </c>
      <c r="X233" s="413">
        <f t="shared" si="96"/>
        <v>504134.89001657895</v>
      </c>
      <c r="Y233" s="413">
        <f t="shared" si="96"/>
        <v>495078.39707633364</v>
      </c>
      <c r="Z233" s="413">
        <f t="shared" si="96"/>
        <v>486986.02389609604</v>
      </c>
      <c r="AA233" s="413">
        <f t="shared" si="96"/>
        <v>479567.00076915941</v>
      </c>
      <c r="AB233" s="413">
        <f t="shared" si="96"/>
        <v>472844.72525879077</v>
      </c>
      <c r="AC233" s="413">
        <f t="shared" si="96"/>
        <v>466863.59135993867</v>
      </c>
    </row>
    <row r="234" spans="1:53" ht="15.75">
      <c r="C234" s="401" t="s">
        <v>182</v>
      </c>
      <c r="D234" s="418">
        <f>NPV(0.03,F214:AC214)/1000</f>
        <v>6627.3968103097286</v>
      </c>
    </row>
    <row r="235" spans="1:53" ht="15.75">
      <c r="C235" s="401" t="s">
        <v>183</v>
      </c>
      <c r="D235" s="419">
        <f>IRR(F235:AC235)</f>
        <v>0.1617999507109194</v>
      </c>
      <c r="F235" s="406">
        <f>F224+F233</f>
        <v>0</v>
      </c>
      <c r="G235" s="406">
        <f t="shared" ref="G235:AC235" si="97">G224+G233</f>
        <v>-1368141.7054859069</v>
      </c>
      <c r="H235" s="406">
        <f t="shared" si="97"/>
        <v>-1589436.4550412006</v>
      </c>
      <c r="I235" s="406">
        <f t="shared" si="97"/>
        <v>624731.06406542007</v>
      </c>
      <c r="J235" s="406">
        <f t="shared" si="97"/>
        <v>608746.01970293187</v>
      </c>
      <c r="K235" s="406">
        <f t="shared" si="97"/>
        <v>592846.42996153759</v>
      </c>
      <c r="L235" s="406">
        <f t="shared" si="97"/>
        <v>577042.79330331041</v>
      </c>
      <c r="M235" s="406">
        <f t="shared" si="97"/>
        <v>561313.02494658588</v>
      </c>
      <c r="N235" s="406">
        <f t="shared" si="97"/>
        <v>541922.77995437908</v>
      </c>
      <c r="O235" s="406">
        <f t="shared" si="97"/>
        <v>523258.77770149626</v>
      </c>
      <c r="P235" s="406">
        <f t="shared" si="97"/>
        <v>506473.73595066316</v>
      </c>
      <c r="Q235" s="406">
        <f t="shared" si="97"/>
        <v>489787.91251532605</v>
      </c>
      <c r="R235" s="406">
        <f t="shared" si="97"/>
        <v>473176.49932190386</v>
      </c>
      <c r="S235" s="406">
        <f t="shared" si="97"/>
        <v>456588.91771132889</v>
      </c>
      <c r="T235" s="406">
        <f t="shared" si="97"/>
        <v>439994.04829829541</v>
      </c>
      <c r="U235" s="406">
        <f t="shared" si="97"/>
        <v>423336.0261917733</v>
      </c>
      <c r="V235" s="406">
        <f t="shared" si="97"/>
        <v>406576.17438804079</v>
      </c>
      <c r="W235" s="406">
        <f t="shared" si="97"/>
        <v>389651.82803050819</v>
      </c>
      <c r="X235" s="406">
        <f t="shared" si="97"/>
        <v>372549.86367730174</v>
      </c>
      <c r="Y235" s="406">
        <f t="shared" si="97"/>
        <v>355171.38685450878</v>
      </c>
      <c r="Z235" s="406">
        <f t="shared" si="97"/>
        <v>337755.16942301701</v>
      </c>
      <c r="AA235" s="406">
        <f t="shared" si="97"/>
        <v>319910.13935714797</v>
      </c>
      <c r="AB235" s="406">
        <f t="shared" si="97"/>
        <v>301548.90096834535</v>
      </c>
      <c r="AC235" s="406">
        <f t="shared" si="97"/>
        <v>282593.47851301439</v>
      </c>
    </row>
    <row r="236" spans="1:53" ht="15.75">
      <c r="C236" s="401" t="s">
        <v>184</v>
      </c>
      <c r="D236" s="420">
        <f>SUM(D226:D232)/SUM(D220:D223)</f>
        <v>2.0353426336308527</v>
      </c>
    </row>
    <row r="239" spans="1:53" ht="14.25">
      <c r="C239" s="412" t="s">
        <v>597</v>
      </c>
      <c r="D239" s="39"/>
      <c r="E239" s="39"/>
    </row>
    <row r="240" spans="1:53" ht="15.75">
      <c r="C240" s="401" t="s">
        <v>1</v>
      </c>
      <c r="D240" s="418">
        <f>SUM(D241:D244)</f>
        <v>5000.2021809394764</v>
      </c>
      <c r="E240" s="39"/>
      <c r="F240" s="39"/>
    </row>
    <row r="241" spans="3:29" ht="15.75">
      <c r="C241" s="403" t="s">
        <v>196</v>
      </c>
      <c r="D241" s="416">
        <f>-SUM(F241:AC241)/1000</f>
        <v>3503.8921523162858</v>
      </c>
      <c r="E241" s="39"/>
      <c r="F241" s="406">
        <f>F199*F$191</f>
        <v>0</v>
      </c>
      <c r="G241" s="406">
        <f t="shared" ref="G241:AC241" si="98">G199*G$191</f>
        <v>-1514399.9344920954</v>
      </c>
      <c r="H241" s="406">
        <f t="shared" si="98"/>
        <v>-1989492.2178241904</v>
      </c>
      <c r="I241" s="406">
        <f t="shared" si="98"/>
        <v>0</v>
      </c>
      <c r="J241" s="406">
        <f t="shared" si="98"/>
        <v>0</v>
      </c>
      <c r="K241" s="406">
        <f t="shared" si="98"/>
        <v>0</v>
      </c>
      <c r="L241" s="406">
        <f t="shared" si="98"/>
        <v>0</v>
      </c>
      <c r="M241" s="406">
        <f t="shared" si="98"/>
        <v>0</v>
      </c>
      <c r="N241" s="406">
        <f t="shared" si="98"/>
        <v>0</v>
      </c>
      <c r="O241" s="406">
        <f t="shared" si="98"/>
        <v>0</v>
      </c>
      <c r="P241" s="406">
        <f t="shared" si="98"/>
        <v>0</v>
      </c>
      <c r="Q241" s="406">
        <f t="shared" si="98"/>
        <v>0</v>
      </c>
      <c r="R241" s="406">
        <f t="shared" si="98"/>
        <v>0</v>
      </c>
      <c r="S241" s="406">
        <f t="shared" si="98"/>
        <v>0</v>
      </c>
      <c r="T241" s="406">
        <f t="shared" si="98"/>
        <v>0</v>
      </c>
      <c r="U241" s="406">
        <f t="shared" si="98"/>
        <v>0</v>
      </c>
      <c r="V241" s="406">
        <f t="shared" si="98"/>
        <v>0</v>
      </c>
      <c r="W241" s="406">
        <f t="shared" si="98"/>
        <v>0</v>
      </c>
      <c r="X241" s="406">
        <f t="shared" si="98"/>
        <v>0</v>
      </c>
      <c r="Y241" s="406">
        <f t="shared" si="98"/>
        <v>0</v>
      </c>
      <c r="Z241" s="406">
        <f t="shared" si="98"/>
        <v>0</v>
      </c>
      <c r="AA241" s="406">
        <f t="shared" si="98"/>
        <v>0</v>
      </c>
      <c r="AB241" s="406">
        <f t="shared" si="98"/>
        <v>0</v>
      </c>
      <c r="AC241" s="406">
        <f t="shared" si="98"/>
        <v>0</v>
      </c>
    </row>
    <row r="242" spans="3:29" ht="15.75">
      <c r="C242" s="403" t="s">
        <v>197</v>
      </c>
      <c r="D242" s="416">
        <f>-SUM(F242:AC242)/1000</f>
        <v>0</v>
      </c>
      <c r="F242" s="406">
        <f t="shared" ref="F242:AC242" si="99">F200*F$191</f>
        <v>0</v>
      </c>
      <c r="G242" s="406">
        <f t="shared" si="99"/>
        <v>0</v>
      </c>
      <c r="H242" s="406">
        <f t="shared" si="99"/>
        <v>0</v>
      </c>
      <c r="I242" s="406">
        <f t="shared" si="99"/>
        <v>0</v>
      </c>
      <c r="J242" s="406">
        <f t="shared" si="99"/>
        <v>0</v>
      </c>
      <c r="K242" s="406">
        <f t="shared" si="99"/>
        <v>0</v>
      </c>
      <c r="L242" s="406">
        <f t="shared" si="99"/>
        <v>0</v>
      </c>
      <c r="M242" s="406">
        <f t="shared" si="99"/>
        <v>0</v>
      </c>
      <c r="N242" s="406">
        <f t="shared" si="99"/>
        <v>0</v>
      </c>
      <c r="O242" s="406">
        <f t="shared" si="99"/>
        <v>0</v>
      </c>
      <c r="P242" s="406">
        <f t="shared" si="99"/>
        <v>0</v>
      </c>
      <c r="Q242" s="406">
        <f t="shared" si="99"/>
        <v>0</v>
      </c>
      <c r="R242" s="406">
        <f t="shared" si="99"/>
        <v>0</v>
      </c>
      <c r="S242" s="406">
        <f t="shared" si="99"/>
        <v>0</v>
      </c>
      <c r="T242" s="406">
        <f t="shared" si="99"/>
        <v>0</v>
      </c>
      <c r="U242" s="406">
        <f t="shared" si="99"/>
        <v>0</v>
      </c>
      <c r="V242" s="406">
        <f t="shared" si="99"/>
        <v>0</v>
      </c>
      <c r="W242" s="406">
        <f t="shared" si="99"/>
        <v>0</v>
      </c>
      <c r="X242" s="406">
        <f t="shared" si="99"/>
        <v>0</v>
      </c>
      <c r="Y242" s="406">
        <f t="shared" si="99"/>
        <v>0</v>
      </c>
      <c r="Z242" s="406">
        <f t="shared" si="99"/>
        <v>0</v>
      </c>
      <c r="AA242" s="406">
        <f t="shared" si="99"/>
        <v>0</v>
      </c>
      <c r="AB242" s="406">
        <f t="shared" si="99"/>
        <v>0</v>
      </c>
      <c r="AC242" s="406">
        <f t="shared" si="99"/>
        <v>0</v>
      </c>
    </row>
    <row r="243" spans="3:29" ht="15.75">
      <c r="C243" s="404" t="s">
        <v>546</v>
      </c>
      <c r="D243" s="416">
        <f>-SUM(F243:AC243)/1000</f>
        <v>42.607992899491983</v>
      </c>
      <c r="F243" s="406">
        <f t="shared" ref="F243:AC243" si="100">F201*F$191</f>
        <v>0</v>
      </c>
      <c r="G243" s="406">
        <f t="shared" si="100"/>
        <v>-42607.992899491983</v>
      </c>
      <c r="H243" s="406">
        <f t="shared" si="100"/>
        <v>0</v>
      </c>
      <c r="I243" s="406">
        <f t="shared" si="100"/>
        <v>0</v>
      </c>
      <c r="J243" s="406">
        <f t="shared" si="100"/>
        <v>0</v>
      </c>
      <c r="K243" s="406">
        <f t="shared" si="100"/>
        <v>0</v>
      </c>
      <c r="L243" s="406">
        <f t="shared" si="100"/>
        <v>0</v>
      </c>
      <c r="M243" s="406">
        <f t="shared" si="100"/>
        <v>0</v>
      </c>
      <c r="N243" s="406">
        <f t="shared" si="100"/>
        <v>0</v>
      </c>
      <c r="O243" s="406">
        <f t="shared" si="100"/>
        <v>0</v>
      </c>
      <c r="P243" s="406">
        <f t="shared" si="100"/>
        <v>0</v>
      </c>
      <c r="Q243" s="406">
        <f t="shared" si="100"/>
        <v>0</v>
      </c>
      <c r="R243" s="406">
        <f t="shared" si="100"/>
        <v>0</v>
      </c>
      <c r="S243" s="406">
        <f t="shared" si="100"/>
        <v>0</v>
      </c>
      <c r="T243" s="406">
        <f t="shared" si="100"/>
        <v>0</v>
      </c>
      <c r="U243" s="406">
        <f t="shared" si="100"/>
        <v>0</v>
      </c>
      <c r="V243" s="406">
        <f t="shared" si="100"/>
        <v>0</v>
      </c>
      <c r="W243" s="406">
        <f t="shared" si="100"/>
        <v>0</v>
      </c>
      <c r="X243" s="406">
        <f t="shared" si="100"/>
        <v>0</v>
      </c>
      <c r="Y243" s="406">
        <f t="shared" si="100"/>
        <v>0</v>
      </c>
      <c r="Z243" s="406">
        <f t="shared" si="100"/>
        <v>0</v>
      </c>
      <c r="AA243" s="406">
        <f t="shared" si="100"/>
        <v>0</v>
      </c>
      <c r="AB243" s="406">
        <f t="shared" si="100"/>
        <v>0</v>
      </c>
      <c r="AC243" s="406">
        <f t="shared" si="100"/>
        <v>0</v>
      </c>
    </row>
    <row r="244" spans="3:29" ht="15.75">
      <c r="C244" s="403" t="s">
        <v>198</v>
      </c>
      <c r="D244" s="416">
        <f>-SUM(F244:AC244)/1000</f>
        <v>1453.7020357236986</v>
      </c>
      <c r="F244" s="406">
        <f t="shared" ref="F244:AC244" si="101">F202*F$191</f>
        <v>0</v>
      </c>
      <c r="G244" s="406">
        <f t="shared" si="101"/>
        <v>-36423.567102658075</v>
      </c>
      <c r="H244" s="406">
        <f t="shared" si="101"/>
        <v>-70643.443484642616</v>
      </c>
      <c r="I244" s="406">
        <f t="shared" si="101"/>
        <v>-68672.798808846186</v>
      </c>
      <c r="J244" s="406">
        <f t="shared" si="101"/>
        <v>-66930.152126058674</v>
      </c>
      <c r="K244" s="406">
        <f t="shared" si="101"/>
        <v>-65411.118133296557</v>
      </c>
      <c r="L244" s="406">
        <f t="shared" si="101"/>
        <v>-64111.971575124131</v>
      </c>
      <c r="M244" s="406">
        <f t="shared" si="101"/>
        <v>-63029.645955457498</v>
      </c>
      <c r="N244" s="406">
        <f t="shared" si="101"/>
        <v>-61906.527273900327</v>
      </c>
      <c r="O244" s="406">
        <f t="shared" si="101"/>
        <v>-61029.466648303678</v>
      </c>
      <c r="P244" s="406">
        <f t="shared" si="101"/>
        <v>-60394.10457608736</v>
      </c>
      <c r="Q244" s="406">
        <f t="shared" si="101"/>
        <v>-59997.036515622356</v>
      </c>
      <c r="R244" s="406">
        <f t="shared" si="101"/>
        <v>-59835.796348456373</v>
      </c>
      <c r="S244" s="406">
        <f t="shared" si="101"/>
        <v>-59908.843521503128</v>
      </c>
      <c r="T244" s="406">
        <f t="shared" si="101"/>
        <v>-60215.553808293123</v>
      </c>
      <c r="U244" s="406">
        <f t="shared" si="101"/>
        <v>-60756.21364244126</v>
      </c>
      <c r="V244" s="406">
        <f t="shared" si="101"/>
        <v>-61532.017990328641</v>
      </c>
      <c r="W244" s="406">
        <f t="shared" si="101"/>
        <v>-62545.071743675981</v>
      </c>
      <c r="X244" s="406">
        <f t="shared" si="101"/>
        <v>-63800.188978258382</v>
      </c>
      <c r="Y244" s="406">
        <f t="shared" si="101"/>
        <v>-65299.283551481247</v>
      </c>
      <c r="Z244" s="406">
        <f t="shared" si="101"/>
        <v>-67047.256718892182</v>
      </c>
      <c r="AA244" s="406">
        <f t="shared" si="101"/>
        <v>-69049.958508634867</v>
      </c>
      <c r="AB244" s="406">
        <f t="shared" si="101"/>
        <v>-71314.207061993031</v>
      </c>
      <c r="AC244" s="406">
        <f t="shared" si="101"/>
        <v>-73847.811649742929</v>
      </c>
    </row>
    <row r="245" spans="3:29" ht="15.75">
      <c r="C245" s="402"/>
      <c r="D245" s="417"/>
      <c r="F245" s="414">
        <f>SUM(F241:F244)</f>
        <v>0</v>
      </c>
      <c r="G245" s="414">
        <f t="shared" ref="G245:AC245" si="102">SUM(G241:G244)</f>
        <v>-1593431.4944942454</v>
      </c>
      <c r="H245" s="414">
        <f t="shared" si="102"/>
        <v>-2060135.6613088329</v>
      </c>
      <c r="I245" s="414">
        <f t="shared" si="102"/>
        <v>-68672.798808846186</v>
      </c>
      <c r="J245" s="414">
        <f t="shared" si="102"/>
        <v>-66930.152126058674</v>
      </c>
      <c r="K245" s="414">
        <f t="shared" si="102"/>
        <v>-65411.118133296557</v>
      </c>
      <c r="L245" s="414">
        <f t="shared" si="102"/>
        <v>-64111.971575124131</v>
      </c>
      <c r="M245" s="414">
        <f t="shared" si="102"/>
        <v>-63029.645955457498</v>
      </c>
      <c r="N245" s="414">
        <f t="shared" si="102"/>
        <v>-61906.527273900327</v>
      </c>
      <c r="O245" s="414">
        <f t="shared" si="102"/>
        <v>-61029.466648303678</v>
      </c>
      <c r="P245" s="414">
        <f t="shared" si="102"/>
        <v>-60394.10457608736</v>
      </c>
      <c r="Q245" s="414">
        <f t="shared" si="102"/>
        <v>-59997.036515622356</v>
      </c>
      <c r="R245" s="414">
        <f t="shared" si="102"/>
        <v>-59835.796348456373</v>
      </c>
      <c r="S245" s="414">
        <f t="shared" si="102"/>
        <v>-59908.843521503128</v>
      </c>
      <c r="T245" s="414">
        <f t="shared" si="102"/>
        <v>-60215.553808293123</v>
      </c>
      <c r="U245" s="414">
        <f t="shared" si="102"/>
        <v>-60756.21364244126</v>
      </c>
      <c r="V245" s="414">
        <f t="shared" si="102"/>
        <v>-61532.017990328641</v>
      </c>
      <c r="W245" s="414">
        <f t="shared" si="102"/>
        <v>-62545.071743675981</v>
      </c>
      <c r="X245" s="414">
        <f t="shared" si="102"/>
        <v>-63800.188978258382</v>
      </c>
      <c r="Y245" s="414">
        <f t="shared" si="102"/>
        <v>-65299.283551481247</v>
      </c>
      <c r="Z245" s="414">
        <f t="shared" si="102"/>
        <v>-67047.256718892182</v>
      </c>
      <c r="AA245" s="414">
        <f t="shared" si="102"/>
        <v>-69049.958508634867</v>
      </c>
      <c r="AB245" s="414">
        <f t="shared" si="102"/>
        <v>-71314.207061993031</v>
      </c>
      <c r="AC245" s="414">
        <f t="shared" si="102"/>
        <v>-73847.811649742929</v>
      </c>
    </row>
    <row r="246" spans="3:29" ht="15.75">
      <c r="C246" s="401" t="s">
        <v>0</v>
      </c>
      <c r="D246" s="418">
        <f>SUM(D247:D253)</f>
        <v>8386.0429697017098</v>
      </c>
      <c r="F246" s="406"/>
      <c r="G246" s="406"/>
      <c r="H246" s="406"/>
      <c r="I246" s="406"/>
      <c r="J246" s="406"/>
      <c r="K246" s="406"/>
      <c r="L246" s="406"/>
      <c r="M246" s="406"/>
      <c r="N246" s="406"/>
      <c r="O246" s="406"/>
      <c r="P246" s="406"/>
      <c r="Q246" s="406"/>
      <c r="R246" s="406"/>
      <c r="S246" s="406"/>
      <c r="T246" s="406"/>
      <c r="U246" s="406"/>
      <c r="V246" s="406"/>
      <c r="W246" s="406"/>
      <c r="X246" s="406"/>
      <c r="Y246" s="406"/>
      <c r="Z246" s="406"/>
      <c r="AA246" s="406"/>
      <c r="AB246" s="406"/>
      <c r="AC246" s="406"/>
    </row>
    <row r="247" spans="3:29" ht="15.75">
      <c r="C247" s="403" t="s">
        <v>577</v>
      </c>
      <c r="D247" s="416">
        <f t="shared" ref="D247:D253" si="103">SUM(F247:AC247)/1000</f>
        <v>1206.1573852287706</v>
      </c>
      <c r="F247" s="406">
        <f>F205*F$191</f>
        <v>0</v>
      </c>
      <c r="G247" s="406">
        <f t="shared" ref="G247:AC247" si="104">G205*G$191</f>
        <v>47629.779031305996</v>
      </c>
      <c r="H247" s="406">
        <f t="shared" si="104"/>
        <v>90278.012571741492</v>
      </c>
      <c r="I247" s="406">
        <f t="shared" si="104"/>
        <v>85548.660503755193</v>
      </c>
      <c r="J247" s="406">
        <f t="shared" si="104"/>
        <v>81059.37171531831</v>
      </c>
      <c r="K247" s="406">
        <f t="shared" si="104"/>
        <v>76798.554493577161</v>
      </c>
      <c r="L247" s="406">
        <f t="shared" si="104"/>
        <v>72755.135977884216</v>
      </c>
      <c r="M247" s="406">
        <f t="shared" si="104"/>
        <v>68918.542968669295</v>
      </c>
      <c r="N247" s="406">
        <f t="shared" si="104"/>
        <v>64841.965191654359</v>
      </c>
      <c r="O247" s="406">
        <f t="shared" si="104"/>
        <v>61006.581659230338</v>
      </c>
      <c r="P247" s="406">
        <f t="shared" si="104"/>
        <v>57398.168403269097</v>
      </c>
      <c r="Q247" s="406">
        <f t="shared" si="104"/>
        <v>54003.347087490787</v>
      </c>
      <c r="R247" s="406">
        <f t="shared" si="104"/>
        <v>50809.535507364264</v>
      </c>
      <c r="S247" s="406">
        <f t="shared" si="104"/>
        <v>47804.901048767366</v>
      </c>
      <c r="T247" s="406">
        <f t="shared" si="104"/>
        <v>44978.3169344903</v>
      </c>
      <c r="U247" s="406">
        <f t="shared" si="104"/>
        <v>42319.321097959153</v>
      </c>
      <c r="V247" s="406">
        <f t="shared" si="104"/>
        <v>39818.077533268071</v>
      </c>
      <c r="W247" s="406">
        <f t="shared" si="104"/>
        <v>37465.339979775141</v>
      </c>
      <c r="X247" s="406">
        <f t="shared" si="104"/>
        <v>35255.606844686386</v>
      </c>
      <c r="Y247" s="406">
        <f t="shared" si="104"/>
        <v>33177.127834561172</v>
      </c>
      <c r="Z247" s="406">
        <f t="shared" si="104"/>
        <v>31222.266091493068</v>
      </c>
      <c r="AA247" s="406">
        <f t="shared" si="104"/>
        <v>29383.847006157044</v>
      </c>
      <c r="AB247" s="406">
        <f t="shared" si="104"/>
        <v>27655.131972381034</v>
      </c>
      <c r="AC247" s="406">
        <f t="shared" si="104"/>
        <v>26029.793773971061</v>
      </c>
    </row>
    <row r="248" spans="3:29" ht="15.75">
      <c r="C248" s="403" t="s">
        <v>578</v>
      </c>
      <c r="D248" s="416">
        <f t="shared" si="103"/>
        <v>1987.1532017930192</v>
      </c>
      <c r="F248" s="406">
        <f t="shared" ref="F248:AC248" si="105">F206*F$191</f>
        <v>0</v>
      </c>
      <c r="G248" s="406">
        <f t="shared" si="105"/>
        <v>79610.251172353543</v>
      </c>
      <c r="H248" s="406">
        <f t="shared" si="105"/>
        <v>150467.2037153531</v>
      </c>
      <c r="I248" s="406">
        <f t="shared" si="105"/>
        <v>142193.60439437936</v>
      </c>
      <c r="J248" s="406">
        <f t="shared" si="105"/>
        <v>134375.39216165256</v>
      </c>
      <c r="K248" s="406">
        <f t="shared" si="105"/>
        <v>126989.44456063012</v>
      </c>
      <c r="L248" s="406">
        <f t="shared" si="105"/>
        <v>120013.78113707951</v>
      </c>
      <c r="M248" s="406">
        <f t="shared" si="105"/>
        <v>113427.51707566094</v>
      </c>
      <c r="N248" s="406">
        <f t="shared" si="105"/>
        <v>106504.21086670726</v>
      </c>
      <c r="O248" s="406">
        <f t="shared" si="105"/>
        <v>100024.09635618927</v>
      </c>
      <c r="P248" s="406">
        <f t="shared" si="105"/>
        <v>93960.239413346266</v>
      </c>
      <c r="Q248" s="406">
        <f t="shared" si="105"/>
        <v>88287.422034273302</v>
      </c>
      <c r="R248" s="406">
        <f t="shared" si="105"/>
        <v>82982.038621570086</v>
      </c>
      <c r="S248" s="406">
        <f t="shared" si="105"/>
        <v>78021.99883632148</v>
      </c>
      <c r="T248" s="406">
        <f t="shared" si="105"/>
        <v>73386.636628000357</v>
      </c>
      <c r="U248" s="406">
        <f t="shared" si="105"/>
        <v>69056.625072707902</v>
      </c>
      <c r="V248" s="406">
        <f t="shared" si="105"/>
        <v>65013.896673517811</v>
      </c>
      <c r="W248" s="406">
        <f t="shared" si="105"/>
        <v>61241.56879865552</v>
      </c>
      <c r="X248" s="406">
        <f t="shared" si="105"/>
        <v>57728.842097815439</v>
      </c>
      <c r="Y248" s="406">
        <f t="shared" si="105"/>
        <v>54455.380855438736</v>
      </c>
      <c r="Z248" s="406">
        <f t="shared" si="105"/>
        <v>51407.52039295125</v>
      </c>
      <c r="AA248" s="406">
        <f t="shared" si="105"/>
        <v>48572.52267692468</v>
      </c>
      <c r="AB248" s="406">
        <f t="shared" si="105"/>
        <v>45938.52371986759</v>
      </c>
      <c r="AC248" s="406">
        <f t="shared" si="105"/>
        <v>43494.48453162342</v>
      </c>
    </row>
    <row r="249" spans="3:29" ht="15.75">
      <c r="C249" s="403" t="s">
        <v>199</v>
      </c>
      <c r="D249" s="416">
        <f t="shared" si="103"/>
        <v>112.10440860857885</v>
      </c>
      <c r="F249" s="406">
        <f t="shared" ref="F249:AC249" si="106">F207*F$191</f>
        <v>0</v>
      </c>
      <c r="G249" s="406">
        <f t="shared" si="106"/>
        <v>3084.8629990926788</v>
      </c>
      <c r="H249" s="406">
        <f t="shared" si="106"/>
        <v>6021.0188155757123</v>
      </c>
      <c r="I249" s="406">
        <f t="shared" si="106"/>
        <v>5878.5616290690214</v>
      </c>
      <c r="J249" s="406">
        <f t="shared" si="106"/>
        <v>5742.6375713626931</v>
      </c>
      <c r="K249" s="406">
        <f t="shared" si="106"/>
        <v>5613.5170815806205</v>
      </c>
      <c r="L249" s="406">
        <f t="shared" si="106"/>
        <v>5491.4604350781829</v>
      </c>
      <c r="M249" s="406">
        <f t="shared" si="106"/>
        <v>5376.7201996408712</v>
      </c>
      <c r="N249" s="406">
        <f t="shared" si="106"/>
        <v>5240.5056657829136</v>
      </c>
      <c r="O249" s="406">
        <f t="shared" si="106"/>
        <v>5114.7547180387537</v>
      </c>
      <c r="P249" s="406">
        <f t="shared" si="106"/>
        <v>4999.5512151399071</v>
      </c>
      <c r="Q249" s="406">
        <f t="shared" si="106"/>
        <v>4894.9865270753744</v>
      </c>
      <c r="R249" s="406">
        <f t="shared" si="106"/>
        <v>4801.1618492343105</v>
      </c>
      <c r="S249" s="406">
        <f t="shared" si="106"/>
        <v>4718.1904415848585</v>
      </c>
      <c r="T249" s="406">
        <f t="shared" si="106"/>
        <v>4646.1998082861501</v>
      </c>
      <c r="U249" s="406">
        <f t="shared" si="106"/>
        <v>4585.3338325242476</v>
      </c>
      <c r="V249" s="406">
        <f t="shared" si="106"/>
        <v>4535.7548808372349</v>
      </c>
      <c r="W249" s="406">
        <f t="shared" si="106"/>
        <v>4497.6458907454826</v>
      </c>
      <c r="X249" s="406">
        <f t="shared" si="106"/>
        <v>4471.4610506517847</v>
      </c>
      <c r="Y249" s="406">
        <f t="shared" si="106"/>
        <v>4457.1582193446347</v>
      </c>
      <c r="Z249" s="406">
        <f t="shared" si="106"/>
        <v>4454.9961912440467</v>
      </c>
      <c r="AA249" s="406">
        <f t="shared" si="106"/>
        <v>4465.2627013981146</v>
      </c>
      <c r="AB249" s="406">
        <f t="shared" si="106"/>
        <v>4488.2766282101402</v>
      </c>
      <c r="AC249" s="406">
        <f t="shared" si="106"/>
        <v>4524.390257081126</v>
      </c>
    </row>
    <row r="250" spans="3:29" ht="15.75">
      <c r="C250" s="403" t="s">
        <v>200</v>
      </c>
      <c r="D250" s="416">
        <f t="shared" si="103"/>
        <v>476.21158455630427</v>
      </c>
      <c r="F250" s="406">
        <f t="shared" ref="F250:AC250" si="107">F208*F$191</f>
        <v>0</v>
      </c>
      <c r="G250" s="406">
        <f t="shared" si="107"/>
        <v>4631.8897071288293</v>
      </c>
      <c r="H250" s="406">
        <f t="shared" si="107"/>
        <v>37703.228502388876</v>
      </c>
      <c r="I250" s="406">
        <f t="shared" si="107"/>
        <v>35606.592746420029</v>
      </c>
      <c r="J250" s="406">
        <f t="shared" si="107"/>
        <v>33623.891130182332</v>
      </c>
      <c r="K250" s="406">
        <f t="shared" si="107"/>
        <v>31749.250358461886</v>
      </c>
      <c r="L250" s="406">
        <f t="shared" si="107"/>
        <v>29977.081772406411</v>
      </c>
      <c r="M250" s="406">
        <f t="shared" si="107"/>
        <v>28302.069480741891</v>
      </c>
      <c r="N250" s="406">
        <f t="shared" si="107"/>
        <v>26541.161883227753</v>
      </c>
      <c r="O250" s="406">
        <f t="shared" si="107"/>
        <v>24890.840700113669</v>
      </c>
      <c r="P250" s="406">
        <f t="shared" si="107"/>
        <v>23344.255252093393</v>
      </c>
      <c r="Q250" s="406">
        <f t="shared" si="107"/>
        <v>21894.983045875928</v>
      </c>
      <c r="R250" s="406">
        <f t="shared" si="107"/>
        <v>20537.003389909074</v>
      </c>
      <c r="S250" s="406">
        <f t="shared" si="107"/>
        <v>19264.672649668544</v>
      </c>
      <c r="T250" s="406">
        <f t="shared" si="107"/>
        <v>18072.701042158635</v>
      </c>
      <c r="U250" s="406">
        <f t="shared" si="107"/>
        <v>16956.130875461844</v>
      </c>
      <c r="V250" s="406">
        <f t="shared" si="107"/>
        <v>15910.316144990204</v>
      </c>
      <c r="W250" s="406">
        <f t="shared" si="107"/>
        <v>14930.903403553899</v>
      </c>
      <c r="X250" s="406">
        <f t="shared" si="107"/>
        <v>14015.065320887512</v>
      </c>
      <c r="Y250" s="406">
        <f t="shared" si="107"/>
        <v>13157.565645937839</v>
      </c>
      <c r="Z250" s="406">
        <f t="shared" si="107"/>
        <v>12354.841493247559</v>
      </c>
      <c r="AA250" s="406">
        <f t="shared" si="107"/>
        <v>11603.555867105855</v>
      </c>
      <c r="AB250" s="406">
        <f t="shared" si="107"/>
        <v>10900.583941176323</v>
      </c>
      <c r="AC250" s="406">
        <f t="shared" si="107"/>
        <v>10243.000203166059</v>
      </c>
    </row>
    <row r="251" spans="3:29" ht="15.75">
      <c r="C251" s="403" t="s">
        <v>201</v>
      </c>
      <c r="D251" s="416">
        <f t="shared" si="103"/>
        <v>599.99504782587235</v>
      </c>
      <c r="F251" s="406">
        <f t="shared" ref="F251:AC251" si="108">F209*F$191</f>
        <v>0</v>
      </c>
      <c r="G251" s="406">
        <f t="shared" si="108"/>
        <v>32579.546199553035</v>
      </c>
      <c r="H251" s="406">
        <f t="shared" si="108"/>
        <v>58836.236878493997</v>
      </c>
      <c r="I251" s="406">
        <f t="shared" si="108"/>
        <v>53043.632407611665</v>
      </c>
      <c r="J251" s="406">
        <f t="shared" si="108"/>
        <v>47798.19056104491</v>
      </c>
      <c r="K251" s="406">
        <f t="shared" si="108"/>
        <v>42944.906043299758</v>
      </c>
      <c r="L251" s="406">
        <f t="shared" si="108"/>
        <v>38478.428099175784</v>
      </c>
      <c r="M251" s="406">
        <f t="shared" si="108"/>
        <v>34369.16520940201</v>
      </c>
      <c r="N251" s="406">
        <f t="shared" si="108"/>
        <v>30447.890243691338</v>
      </c>
      <c r="O251" s="406">
        <f t="shared" si="108"/>
        <v>27185.748261983961</v>
      </c>
      <c r="P251" s="406">
        <f t="shared" si="108"/>
        <v>25302.081338191525</v>
      </c>
      <c r="Q251" s="406">
        <f t="shared" si="108"/>
        <v>23548.841872721463</v>
      </c>
      <c r="R251" s="406">
        <f t="shared" si="108"/>
        <v>21924.566264439945</v>
      </c>
      <c r="S251" s="406">
        <f t="shared" si="108"/>
        <v>20413.703197985178</v>
      </c>
      <c r="T251" s="406">
        <f t="shared" si="108"/>
        <v>19014.925477147892</v>
      </c>
      <c r="U251" s="406">
        <f t="shared" si="108"/>
        <v>17714.787884890178</v>
      </c>
      <c r="V251" s="406">
        <f t="shared" si="108"/>
        <v>16512.097840410624</v>
      </c>
      <c r="W251" s="406">
        <f t="shared" si="108"/>
        <v>15395.230004558105</v>
      </c>
      <c r="X251" s="406">
        <f t="shared" si="108"/>
        <v>14362.238326565239</v>
      </c>
      <c r="Y251" s="406">
        <f t="shared" si="108"/>
        <v>13408.261929164422</v>
      </c>
      <c r="Z251" s="406">
        <f t="shared" si="108"/>
        <v>12665.509864676606</v>
      </c>
      <c r="AA251" s="406">
        <f t="shared" si="108"/>
        <v>11976.191955073646</v>
      </c>
      <c r="AB251" s="406">
        <f t="shared" si="108"/>
        <v>11333.760742003511</v>
      </c>
      <c r="AC251" s="406">
        <f t="shared" si="108"/>
        <v>10739.107223787581</v>
      </c>
    </row>
    <row r="252" spans="3:29" ht="15.75">
      <c r="C252" s="403" t="s">
        <v>579</v>
      </c>
      <c r="D252" s="416">
        <f t="shared" si="103"/>
        <v>0.14805718298738746</v>
      </c>
      <c r="F252" s="406">
        <f t="shared" ref="F252:AC252" si="109">F210*F$191</f>
        <v>0</v>
      </c>
      <c r="G252" s="406">
        <f t="shared" si="109"/>
        <v>1.543058436335035</v>
      </c>
      <c r="H252" s="406">
        <f t="shared" si="109"/>
        <v>3.2787828606087244</v>
      </c>
      <c r="I252" s="406">
        <f t="shared" si="109"/>
        <v>3.4834769681682229</v>
      </c>
      <c r="J252" s="406">
        <f t="shared" si="109"/>
        <v>3.70095010973237</v>
      </c>
      <c r="K252" s="406">
        <f t="shared" si="109"/>
        <v>3.9320000791997729</v>
      </c>
      <c r="L252" s="406">
        <f t="shared" si="109"/>
        <v>4.1774744766675713</v>
      </c>
      <c r="M252" s="406">
        <f t="shared" si="109"/>
        <v>4.4382738178277537</v>
      </c>
      <c r="N252" s="406">
        <f t="shared" si="109"/>
        <v>4.7153548374827947</v>
      </c>
      <c r="O252" s="406">
        <f t="shared" si="109"/>
        <v>5.0097339992994767</v>
      </c>
      <c r="P252" s="406">
        <f t="shared" si="109"/>
        <v>5.3224912246763045</v>
      </c>
      <c r="Q252" s="406">
        <f t="shared" si="109"/>
        <v>5.6547738544037598</v>
      </c>
      <c r="R252" s="406">
        <f t="shared" si="109"/>
        <v>6.0078008576506479</v>
      </c>
      <c r="S252" s="406">
        <f t="shared" si="109"/>
        <v>6.3828673037170613</v>
      </c>
      <c r="T252" s="406">
        <f t="shared" si="109"/>
        <v>6.7813491129584644</v>
      </c>
      <c r="U252" s="406">
        <f t="shared" si="109"/>
        <v>7.2047081043095158</v>
      </c>
      <c r="V252" s="406">
        <f t="shared" si="109"/>
        <v>7.6544973579243534</v>
      </c>
      <c r="W252" s="406">
        <f t="shared" si="109"/>
        <v>8.1323669126059865</v>
      </c>
      <c r="X252" s="406">
        <f t="shared" si="109"/>
        <v>8.6400698189256886</v>
      </c>
      <c r="Y252" s="406">
        <f t="shared" si="109"/>
        <v>9.1794685702380594</v>
      </c>
      <c r="Z252" s="406">
        <f t="shared" si="109"/>
        <v>9.7525419351837606</v>
      </c>
      <c r="AA252" s="406">
        <f t="shared" si="109"/>
        <v>10.361392216744767</v>
      </c>
      <c r="AB252" s="406">
        <f t="shared" si="109"/>
        <v>11.008252964481727</v>
      </c>
      <c r="AC252" s="406">
        <f t="shared" si="109"/>
        <v>11.695497168245632</v>
      </c>
    </row>
    <row r="253" spans="3:29" ht="15.75">
      <c r="C253" s="403" t="s">
        <v>202</v>
      </c>
      <c r="D253" s="416">
        <f t="shared" si="103"/>
        <v>4004.2732845061764</v>
      </c>
      <c r="F253" s="406">
        <f t="shared" ref="F253:AC253" si="110">F211*F$191</f>
        <v>0</v>
      </c>
      <c r="G253" s="406">
        <f t="shared" si="110"/>
        <v>158130.90475278939</v>
      </c>
      <c r="H253" s="406">
        <f t="shared" si="110"/>
        <v>299064.09802879207</v>
      </c>
      <c r="I253" s="406">
        <f t="shared" si="110"/>
        <v>282820.64449562615</v>
      </c>
      <c r="J253" s="406">
        <f t="shared" si="110"/>
        <v>267483.79500256071</v>
      </c>
      <c r="K253" s="406">
        <f t="shared" si="110"/>
        <v>253008.27131928256</v>
      </c>
      <c r="L253" s="406">
        <f t="shared" si="110"/>
        <v>239351.07803021907</v>
      </c>
      <c r="M253" s="406">
        <f t="shared" si="110"/>
        <v>226471.4125338773</v>
      </c>
      <c r="N253" s="406">
        <f t="shared" si="110"/>
        <v>212934.18153517329</v>
      </c>
      <c r="O253" s="406">
        <f t="shared" si="110"/>
        <v>200281.81238144409</v>
      </c>
      <c r="P253" s="406">
        <f t="shared" si="110"/>
        <v>188461.64144715975</v>
      </c>
      <c r="Q253" s="406">
        <f t="shared" si="110"/>
        <v>177424.43169707424</v>
      </c>
      <c r="R253" s="406">
        <f t="shared" si="110"/>
        <v>167124.16991070678</v>
      </c>
      <c r="S253" s="406">
        <f t="shared" si="110"/>
        <v>157517.87703218171</v>
      </c>
      <c r="T253" s="406">
        <f t="shared" si="110"/>
        <v>148565.43087455325</v>
      </c>
      <c r="U253" s="406">
        <f t="shared" si="110"/>
        <v>140229.4004573416</v>
      </c>
      <c r="V253" s="406">
        <f t="shared" si="110"/>
        <v>132474.89130271351</v>
      </c>
      <c r="W253" s="406">
        <f t="shared" si="110"/>
        <v>125269.40105975632</v>
      </c>
      <c r="X253" s="406">
        <f t="shared" si="110"/>
        <v>118592.50290595929</v>
      </c>
      <c r="Y253" s="406">
        <f t="shared" si="110"/>
        <v>112404.98138193245</v>
      </c>
      <c r="Z253" s="406">
        <f t="shared" si="110"/>
        <v>106680.86499983653</v>
      </c>
      <c r="AA253" s="406">
        <f t="shared" si="110"/>
        <v>101396.07797341612</v>
      </c>
      <c r="AB253" s="406">
        <f t="shared" si="110"/>
        <v>96528.340296187962</v>
      </c>
      <c r="AC253" s="406">
        <f t="shared" si="110"/>
        <v>92057.075087593024</v>
      </c>
    </row>
    <row r="254" spans="3:29" ht="15.75">
      <c r="C254" s="402"/>
      <c r="D254" s="417"/>
      <c r="F254" s="413">
        <f>SUM(F247:F253)</f>
        <v>0</v>
      </c>
      <c r="G254" s="413">
        <f t="shared" ref="G254:AC254" si="111">SUM(G247:G253)</f>
        <v>325668.77692065982</v>
      </c>
      <c r="H254" s="413">
        <f t="shared" si="111"/>
        <v>642373.07729520579</v>
      </c>
      <c r="I254" s="413">
        <f t="shared" si="111"/>
        <v>605095.17965382966</v>
      </c>
      <c r="J254" s="413">
        <f t="shared" si="111"/>
        <v>570086.97909223125</v>
      </c>
      <c r="K254" s="413">
        <f t="shared" si="111"/>
        <v>537107.8758569113</v>
      </c>
      <c r="L254" s="413">
        <f t="shared" si="111"/>
        <v>506071.14292631985</v>
      </c>
      <c r="M254" s="413">
        <f t="shared" si="111"/>
        <v>476869.86574181018</v>
      </c>
      <c r="N254" s="413">
        <f t="shared" si="111"/>
        <v>446514.63074107445</v>
      </c>
      <c r="O254" s="413">
        <f t="shared" si="111"/>
        <v>418508.84381099942</v>
      </c>
      <c r="P254" s="413">
        <f t="shared" si="111"/>
        <v>393471.2595604246</v>
      </c>
      <c r="Q254" s="413">
        <f t="shared" si="111"/>
        <v>370059.6670383655</v>
      </c>
      <c r="R254" s="413">
        <f t="shared" si="111"/>
        <v>348184.48334408214</v>
      </c>
      <c r="S254" s="413">
        <f t="shared" si="111"/>
        <v>327747.72607381281</v>
      </c>
      <c r="T254" s="413">
        <f t="shared" si="111"/>
        <v>308670.9921137495</v>
      </c>
      <c r="U254" s="413">
        <f t="shared" si="111"/>
        <v>290868.80392898922</v>
      </c>
      <c r="V254" s="413">
        <f t="shared" si="111"/>
        <v>274272.68887309538</v>
      </c>
      <c r="W254" s="413">
        <f t="shared" si="111"/>
        <v>258808.22150395706</v>
      </c>
      <c r="X254" s="413">
        <f t="shared" si="111"/>
        <v>244434.35661638458</v>
      </c>
      <c r="Y254" s="413">
        <f t="shared" si="111"/>
        <v>231069.65533494949</v>
      </c>
      <c r="Z254" s="413">
        <f t="shared" si="111"/>
        <v>218795.75157538423</v>
      </c>
      <c r="AA254" s="413">
        <f t="shared" si="111"/>
        <v>207407.81957229221</v>
      </c>
      <c r="AB254" s="413">
        <f t="shared" si="111"/>
        <v>196855.62555279105</v>
      </c>
      <c r="AC254" s="413">
        <f t="shared" si="111"/>
        <v>187099.54657439052</v>
      </c>
    </row>
    <row r="255" spans="3:29" ht="15.75">
      <c r="C255" s="401" t="s">
        <v>182</v>
      </c>
      <c r="D255" s="418">
        <f>NPV(0.07,F214:AC214)/1000</f>
        <v>3385.8407887622334</v>
      </c>
    </row>
    <row r="256" spans="3:29" ht="15.75">
      <c r="C256" s="401" t="s">
        <v>183</v>
      </c>
      <c r="D256" s="419">
        <f>IRR(F256:AC256)</f>
        <v>0.11836817685256727</v>
      </c>
      <c r="F256" s="406">
        <f>F245+F254</f>
        <v>0</v>
      </c>
      <c r="G256" s="406">
        <f t="shared" ref="G256:AC256" si="112">G245+G254</f>
        <v>-1267762.7175735855</v>
      </c>
      <c r="H256" s="406">
        <f t="shared" si="112"/>
        <v>-1417762.5840136271</v>
      </c>
      <c r="I256" s="406">
        <f t="shared" si="112"/>
        <v>536422.38084498351</v>
      </c>
      <c r="J256" s="406">
        <f t="shared" si="112"/>
        <v>503156.82696617255</v>
      </c>
      <c r="K256" s="406">
        <f t="shared" si="112"/>
        <v>471696.75772361475</v>
      </c>
      <c r="L256" s="406">
        <f t="shared" si="112"/>
        <v>441959.17135119572</v>
      </c>
      <c r="M256" s="406">
        <f t="shared" si="112"/>
        <v>413840.21978635271</v>
      </c>
      <c r="N256" s="406">
        <f t="shared" si="112"/>
        <v>384608.10346717411</v>
      </c>
      <c r="O256" s="406">
        <f t="shared" si="112"/>
        <v>357479.37716269575</v>
      </c>
      <c r="P256" s="406">
        <f t="shared" si="112"/>
        <v>333077.15498433722</v>
      </c>
      <c r="Q256" s="406">
        <f t="shared" si="112"/>
        <v>310062.63052274316</v>
      </c>
      <c r="R256" s="406">
        <f t="shared" si="112"/>
        <v>288348.68699562579</v>
      </c>
      <c r="S256" s="406">
        <f t="shared" si="112"/>
        <v>267838.88255230966</v>
      </c>
      <c r="T256" s="406">
        <f t="shared" si="112"/>
        <v>248455.43830545637</v>
      </c>
      <c r="U256" s="406">
        <f t="shared" si="112"/>
        <v>230112.59028654796</v>
      </c>
      <c r="V256" s="406">
        <f t="shared" si="112"/>
        <v>212740.67088276675</v>
      </c>
      <c r="W256" s="406">
        <f t="shared" si="112"/>
        <v>196263.14976028109</v>
      </c>
      <c r="X256" s="406">
        <f t="shared" si="112"/>
        <v>180634.16763812621</v>
      </c>
      <c r="Y256" s="406">
        <f t="shared" si="112"/>
        <v>165770.37178346823</v>
      </c>
      <c r="Z256" s="406">
        <f t="shared" si="112"/>
        <v>151748.49485649203</v>
      </c>
      <c r="AA256" s="406">
        <f t="shared" si="112"/>
        <v>138357.86106365733</v>
      </c>
      <c r="AB256" s="406">
        <f t="shared" si="112"/>
        <v>125541.41849079802</v>
      </c>
      <c r="AC256" s="406">
        <f t="shared" si="112"/>
        <v>113251.73492464759</v>
      </c>
    </row>
    <row r="257" spans="3:4" ht="15.75">
      <c r="C257" s="401" t="s">
        <v>184</v>
      </c>
      <c r="D257" s="420">
        <f>SUM(D247:D253)/SUM(D241:D244)</f>
        <v>1.677140776760766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Z102"/>
  <sheetViews>
    <sheetView zoomScale="75" zoomScaleNormal="75" workbookViewId="0">
      <selection activeCell="B24" sqref="B24"/>
    </sheetView>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1.5703125" bestFit="1" customWidth="1"/>
    <col min="9" max="9" width="15.42578125" style="74" customWidth="1"/>
    <col min="10" max="10" width="10.42578125" customWidth="1"/>
    <col min="11" max="12" width="11.5703125" bestFit="1" customWidth="1"/>
    <col min="13" max="26" width="9.85546875" customWidth="1"/>
  </cols>
  <sheetData>
    <row r="1" spans="1:26">
      <c r="G1"/>
      <c r="I1"/>
    </row>
    <row r="2" spans="1:26">
      <c r="A2" s="3" t="s">
        <v>390</v>
      </c>
      <c r="C2" s="75">
        <v>2013</v>
      </c>
      <c r="D2" s="75">
        <v>2014</v>
      </c>
      <c r="E2" s="75">
        <v>2015</v>
      </c>
      <c r="F2" s="75">
        <v>2016</v>
      </c>
      <c r="G2" s="75">
        <v>2017</v>
      </c>
      <c r="H2" s="75">
        <v>2018</v>
      </c>
      <c r="I2" s="75">
        <v>2019</v>
      </c>
      <c r="J2" s="75">
        <v>2020</v>
      </c>
      <c r="K2" s="75">
        <v>2021</v>
      </c>
      <c r="L2" s="75">
        <v>2022</v>
      </c>
      <c r="M2" s="75">
        <v>2023</v>
      </c>
      <c r="N2" s="75">
        <v>2024</v>
      </c>
      <c r="O2" s="75">
        <v>2025</v>
      </c>
      <c r="P2" s="75">
        <v>2026</v>
      </c>
      <c r="Q2" s="75">
        <v>2027</v>
      </c>
      <c r="R2" s="75">
        <v>2028</v>
      </c>
      <c r="S2" s="75">
        <v>2029</v>
      </c>
      <c r="T2" s="75">
        <v>2030</v>
      </c>
      <c r="U2" s="75">
        <v>2031</v>
      </c>
      <c r="V2" s="75">
        <v>2032</v>
      </c>
      <c r="W2" s="75">
        <v>2033</v>
      </c>
      <c r="X2" s="75">
        <v>2034</v>
      </c>
      <c r="Y2" s="75">
        <v>2035</v>
      </c>
      <c r="Z2" s="75">
        <v>2036</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242</v>
      </c>
      <c r="X3" s="72" t="s">
        <v>243</v>
      </c>
      <c r="Y3" s="72" t="s">
        <v>244</v>
      </c>
      <c r="Z3" s="72" t="s">
        <v>245</v>
      </c>
    </row>
    <row r="4" spans="1:26">
      <c r="A4" s="5" t="s">
        <v>351</v>
      </c>
      <c r="B4" s="53"/>
      <c r="G4"/>
      <c r="I4"/>
    </row>
    <row r="5" spans="1:26">
      <c r="A5" s="70" t="s">
        <v>350</v>
      </c>
      <c r="B5" s="70" t="s">
        <v>350</v>
      </c>
      <c r="C5" s="34">
        <v>0</v>
      </c>
      <c r="D5" s="34">
        <f>D66*0.5</f>
        <v>375391.07940254977</v>
      </c>
      <c r="E5" s="34">
        <f t="shared" ref="E5:Z5" si="0">E66</f>
        <v>758594.86429890129</v>
      </c>
      <c r="F5" s="34">
        <f t="shared" si="0"/>
        <v>766407.56979270279</v>
      </c>
      <c r="G5" s="34">
        <f t="shared" si="0"/>
        <v>774220.27528650477</v>
      </c>
      <c r="H5" s="34">
        <f t="shared" si="0"/>
        <v>782032.98078030651</v>
      </c>
      <c r="I5" s="34">
        <f t="shared" si="0"/>
        <v>789845.68627410836</v>
      </c>
      <c r="J5" s="34">
        <f t="shared" si="0"/>
        <v>797658.39176790998</v>
      </c>
      <c r="K5" s="34">
        <f t="shared" si="0"/>
        <v>800088.00043904327</v>
      </c>
      <c r="L5" s="34">
        <f t="shared" si="0"/>
        <v>802517.60911017656</v>
      </c>
      <c r="M5" s="34">
        <f t="shared" si="0"/>
        <v>804947.21778130974</v>
      </c>
      <c r="N5" s="34">
        <f t="shared" si="0"/>
        <v>807376.82645244314</v>
      </c>
      <c r="O5" s="34">
        <f t="shared" si="0"/>
        <v>809806.43512357632</v>
      </c>
      <c r="P5" s="34">
        <f t="shared" si="0"/>
        <v>812236.04379470961</v>
      </c>
      <c r="Q5" s="34">
        <f t="shared" si="0"/>
        <v>814665.6524658429</v>
      </c>
      <c r="R5" s="34">
        <f t="shared" si="0"/>
        <v>817095.26113697619</v>
      </c>
      <c r="S5" s="34">
        <f t="shared" si="0"/>
        <v>819524.86980810936</v>
      </c>
      <c r="T5" s="34">
        <f t="shared" si="0"/>
        <v>821954.47847924277</v>
      </c>
      <c r="U5" s="34">
        <f t="shared" si="0"/>
        <v>824458.54079310247</v>
      </c>
      <c r="V5" s="34">
        <f t="shared" si="0"/>
        <v>826962.60310696228</v>
      </c>
      <c r="W5" s="34">
        <f t="shared" si="0"/>
        <v>829466.66542082222</v>
      </c>
      <c r="X5" s="34">
        <f t="shared" si="0"/>
        <v>831970.72773468203</v>
      </c>
      <c r="Y5" s="34">
        <f t="shared" si="0"/>
        <v>834474.79004854185</v>
      </c>
      <c r="Z5" s="34">
        <f t="shared" si="0"/>
        <v>836978.85236240155</v>
      </c>
    </row>
    <row r="6" spans="1:26">
      <c r="A6" s="70" t="s">
        <v>408</v>
      </c>
      <c r="B6" s="54" t="s">
        <v>409</v>
      </c>
      <c r="C6">
        <f>C68</f>
        <v>0</v>
      </c>
      <c r="D6" s="34">
        <f>D68*0.5</f>
        <v>15015.643176101992</v>
      </c>
      <c r="E6" s="34">
        <f t="shared" ref="E6:Z7" si="1">E68</f>
        <v>30343.794571956052</v>
      </c>
      <c r="F6" s="34">
        <f t="shared" si="1"/>
        <v>30656.302791708113</v>
      </c>
      <c r="G6" s="34">
        <f t="shared" si="1"/>
        <v>30968.811011460191</v>
      </c>
      <c r="H6" s="34">
        <f t="shared" si="1"/>
        <v>31281.319231212259</v>
      </c>
      <c r="I6" s="34">
        <f t="shared" si="1"/>
        <v>31593.827450964334</v>
      </c>
      <c r="J6" s="34">
        <f t="shared" si="1"/>
        <v>31906.335670716398</v>
      </c>
      <c r="K6" s="34">
        <f t="shared" si="1"/>
        <v>32003.520017561732</v>
      </c>
      <c r="L6" s="34">
        <f t="shared" si="1"/>
        <v>32100.704364407062</v>
      </c>
      <c r="M6" s="34">
        <f t="shared" si="1"/>
        <v>32197.888711252392</v>
      </c>
      <c r="N6" s="34">
        <f t="shared" si="1"/>
        <v>32295.073058097725</v>
      </c>
      <c r="O6" s="34">
        <f t="shared" si="1"/>
        <v>32392.257404943055</v>
      </c>
      <c r="P6" s="34">
        <f t="shared" si="1"/>
        <v>32489.441751788385</v>
      </c>
      <c r="Q6" s="34">
        <f t="shared" si="1"/>
        <v>32586.626098633718</v>
      </c>
      <c r="R6" s="34">
        <f t="shared" si="1"/>
        <v>32683.810445479048</v>
      </c>
      <c r="S6" s="34">
        <f t="shared" si="1"/>
        <v>32780.994792324374</v>
      </c>
      <c r="T6" s="34">
        <f t="shared" si="1"/>
        <v>32878.179139169712</v>
      </c>
      <c r="U6" s="34">
        <f t="shared" si="1"/>
        <v>32978.341631724099</v>
      </c>
      <c r="V6" s="34">
        <f t="shared" si="1"/>
        <v>33078.504124278494</v>
      </c>
      <c r="W6" s="34">
        <f t="shared" si="1"/>
        <v>33178.666616832888</v>
      </c>
      <c r="X6" s="34">
        <f t="shared" si="1"/>
        <v>33278.829109387283</v>
      </c>
      <c r="Y6" s="34">
        <f t="shared" si="1"/>
        <v>33378.991601941678</v>
      </c>
      <c r="Z6" s="34">
        <f t="shared" si="1"/>
        <v>33479.154094496065</v>
      </c>
    </row>
    <row r="7" spans="1:26">
      <c r="A7" s="70"/>
      <c r="B7" s="78" t="s">
        <v>402</v>
      </c>
      <c r="C7">
        <f>C69</f>
        <v>0</v>
      </c>
      <c r="D7" s="34">
        <f>D69*0.5</f>
        <v>11261.732382076492</v>
      </c>
      <c r="E7" s="34">
        <f t="shared" si="1"/>
        <v>22757.845928967039</v>
      </c>
      <c r="F7" s="34">
        <f t="shared" si="1"/>
        <v>22992.227093781083</v>
      </c>
      <c r="G7" s="34">
        <f t="shared" si="1"/>
        <v>23226.608258595141</v>
      </c>
      <c r="H7" s="34">
        <f t="shared" si="1"/>
        <v>23460.989423409195</v>
      </c>
      <c r="I7" s="34">
        <f t="shared" si="1"/>
        <v>23695.37058822325</v>
      </c>
      <c r="J7" s="34">
        <f t="shared" si="1"/>
        <v>23929.751753037297</v>
      </c>
      <c r="K7" s="34">
        <f t="shared" si="1"/>
        <v>24002.640013171298</v>
      </c>
      <c r="L7" s="34">
        <f t="shared" si="1"/>
        <v>24075.528273305295</v>
      </c>
      <c r="M7" s="34">
        <f t="shared" si="1"/>
        <v>24148.416533439293</v>
      </c>
      <c r="N7" s="34">
        <f t="shared" si="1"/>
        <v>24221.304793573294</v>
      </c>
      <c r="O7" s="34">
        <f t="shared" si="1"/>
        <v>24294.193053707288</v>
      </c>
      <c r="P7" s="34">
        <f t="shared" si="1"/>
        <v>24367.081313841289</v>
      </c>
      <c r="Q7" s="34">
        <f t="shared" si="1"/>
        <v>24439.969573975286</v>
      </c>
      <c r="R7" s="34">
        <f t="shared" si="1"/>
        <v>24512.857834109283</v>
      </c>
      <c r="S7" s="34">
        <f t="shared" si="1"/>
        <v>24585.746094243281</v>
      </c>
      <c r="T7" s="34">
        <f t="shared" si="1"/>
        <v>24658.634354377282</v>
      </c>
      <c r="U7" s="34">
        <f t="shared" si="1"/>
        <v>24733.756223793072</v>
      </c>
      <c r="V7" s="34">
        <f t="shared" si="1"/>
        <v>24808.878093208867</v>
      </c>
      <c r="W7" s="34">
        <f t="shared" si="1"/>
        <v>24883.999962624664</v>
      </c>
      <c r="X7" s="34">
        <f t="shared" si="1"/>
        <v>24959.121832040459</v>
      </c>
      <c r="Y7" s="34">
        <f t="shared" si="1"/>
        <v>25034.243701456253</v>
      </c>
      <c r="Z7" s="34">
        <f t="shared" si="1"/>
        <v>25109.365570872047</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261</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350</v>
      </c>
      <c r="B11" s="70" t="s">
        <v>350</v>
      </c>
      <c r="C11" s="189">
        <v>0</v>
      </c>
      <c r="D11" s="34">
        <f>D75*0.5</f>
        <v>2319.0720000000001</v>
      </c>
      <c r="E11" s="34">
        <f t="shared" ref="E11:Z11" si="2">E75</f>
        <v>5272.6420992000003</v>
      </c>
      <c r="F11" s="34">
        <f t="shared" si="2"/>
        <v>5993.9395383705605</v>
      </c>
      <c r="G11" s="34">
        <f t="shared" si="2"/>
        <v>6813.9104672196536</v>
      </c>
      <c r="H11" s="34">
        <f t="shared" si="2"/>
        <v>7746.0534191353017</v>
      </c>
      <c r="I11" s="34">
        <f t="shared" si="2"/>
        <v>8805.7135268730108</v>
      </c>
      <c r="J11" s="34">
        <f t="shared" si="2"/>
        <v>10010.335137349241</v>
      </c>
      <c r="K11" s="34">
        <f t="shared" si="2"/>
        <v>11379.748984138616</v>
      </c>
      <c r="L11" s="34">
        <f t="shared" si="2"/>
        <v>12936.49864516878</v>
      </c>
      <c r="M11" s="34">
        <f t="shared" si="2"/>
        <v>14706.21165982787</v>
      </c>
      <c r="N11" s="34">
        <f t="shared" si="2"/>
        <v>16718.021414892322</v>
      </c>
      <c r="O11" s="34">
        <f t="shared" si="2"/>
        <v>19005.046744449592</v>
      </c>
      <c r="P11" s="34">
        <f t="shared" si="2"/>
        <v>21604.937139090296</v>
      </c>
      <c r="Q11" s="34">
        <f t="shared" si="2"/>
        <v>24560.492539717852</v>
      </c>
      <c r="R11" s="34">
        <f t="shared" si="2"/>
        <v>27920.367919151257</v>
      </c>
      <c r="S11" s="34">
        <f t="shared" si="2"/>
        <v>31739.87425049115</v>
      </c>
      <c r="T11" s="34">
        <f t="shared" si="2"/>
        <v>36081.889047958342</v>
      </c>
      <c r="U11" s="34">
        <f t="shared" si="2"/>
        <v>41017.891469719048</v>
      </c>
      <c r="V11" s="34">
        <f t="shared" si="2"/>
        <v>46629.13902277661</v>
      </c>
      <c r="W11" s="34">
        <f t="shared" si="2"/>
        <v>53008.005241092455</v>
      </c>
      <c r="X11" s="34">
        <f t="shared" si="2"/>
        <v>60259.500358073907</v>
      </c>
      <c r="Y11" s="34">
        <f t="shared" si="2"/>
        <v>68503.000007058406</v>
      </c>
      <c r="Z11" s="34">
        <f t="shared" si="2"/>
        <v>77874.210408023995</v>
      </c>
    </row>
    <row r="12" spans="1:26">
      <c r="A12" s="70" t="s">
        <v>399</v>
      </c>
      <c r="B12" s="54" t="s">
        <v>417</v>
      </c>
      <c r="C12">
        <f>C77</f>
        <v>0</v>
      </c>
      <c r="D12" s="34">
        <f>D77*0.5</f>
        <v>92.76288000000001</v>
      </c>
      <c r="E12" s="34">
        <f t="shared" ref="E12:Z13" si="3">E77</f>
        <v>210.90568396800001</v>
      </c>
      <c r="F12" s="34">
        <f t="shared" si="3"/>
        <v>239.75758153482244</v>
      </c>
      <c r="G12" s="34">
        <f t="shared" si="3"/>
        <v>272.55641868878615</v>
      </c>
      <c r="H12" s="34">
        <f t="shared" si="3"/>
        <v>309.84213676541208</v>
      </c>
      <c r="I12" s="34">
        <f t="shared" si="3"/>
        <v>352.22854107492043</v>
      </c>
      <c r="J12" s="34">
        <f t="shared" si="3"/>
        <v>400.41340549396961</v>
      </c>
      <c r="K12" s="34">
        <f t="shared" si="3"/>
        <v>455.18995936554467</v>
      </c>
      <c r="L12" s="34">
        <f t="shared" si="3"/>
        <v>517.45994580675119</v>
      </c>
      <c r="M12" s="34">
        <f t="shared" si="3"/>
        <v>588.24846639311477</v>
      </c>
      <c r="N12" s="34">
        <f t="shared" si="3"/>
        <v>668.72085659569291</v>
      </c>
      <c r="O12" s="34">
        <f t="shared" si="3"/>
        <v>760.20186977798369</v>
      </c>
      <c r="P12" s="34">
        <f t="shared" si="3"/>
        <v>864.19748556361185</v>
      </c>
      <c r="Q12" s="34">
        <f t="shared" si="3"/>
        <v>982.41970158871413</v>
      </c>
      <c r="R12" s="34">
        <f t="shared" si="3"/>
        <v>1116.8147167660502</v>
      </c>
      <c r="S12" s="34">
        <f t="shared" si="3"/>
        <v>1269.5949700196461</v>
      </c>
      <c r="T12" s="34">
        <f t="shared" si="3"/>
        <v>1443.2755619183338</v>
      </c>
      <c r="U12" s="34">
        <f t="shared" si="3"/>
        <v>1640.7156587887621</v>
      </c>
      <c r="V12" s="34">
        <f t="shared" si="3"/>
        <v>1865.1655609110644</v>
      </c>
      <c r="W12" s="34">
        <f t="shared" si="3"/>
        <v>2120.320209643698</v>
      </c>
      <c r="X12" s="34">
        <f t="shared" si="3"/>
        <v>2410.3800143229564</v>
      </c>
      <c r="Y12" s="34">
        <f t="shared" si="3"/>
        <v>2740.1200002823362</v>
      </c>
      <c r="Z12" s="34">
        <f t="shared" si="3"/>
        <v>3114.9684163209599</v>
      </c>
    </row>
    <row r="13" spans="1:26">
      <c r="A13" s="70"/>
      <c r="B13" s="78" t="s">
        <v>411</v>
      </c>
      <c r="C13">
        <f>C78</f>
        <v>0</v>
      </c>
      <c r="D13" s="34">
        <f>D78*0.5</f>
        <v>69.572159999999997</v>
      </c>
      <c r="E13" s="34">
        <f t="shared" si="3"/>
        <v>158.17926297599999</v>
      </c>
      <c r="F13" s="34">
        <f t="shared" si="3"/>
        <v>179.81818615111681</v>
      </c>
      <c r="G13" s="34">
        <f t="shared" si="3"/>
        <v>204.41731401658959</v>
      </c>
      <c r="H13" s="34">
        <f t="shared" si="3"/>
        <v>232.38160257405903</v>
      </c>
      <c r="I13" s="34">
        <f t="shared" si="3"/>
        <v>264.17140580619031</v>
      </c>
      <c r="J13" s="34">
        <f t="shared" si="3"/>
        <v>300.31005412047722</v>
      </c>
      <c r="K13" s="34">
        <f t="shared" si="3"/>
        <v>341.39246952415846</v>
      </c>
      <c r="L13" s="34">
        <f t="shared" si="3"/>
        <v>388.09495935506339</v>
      </c>
      <c r="M13" s="34">
        <f t="shared" si="3"/>
        <v>441.18634979483608</v>
      </c>
      <c r="N13" s="34">
        <f t="shared" si="3"/>
        <v>501.54064244676965</v>
      </c>
      <c r="O13" s="34">
        <f t="shared" si="3"/>
        <v>570.15140233348768</v>
      </c>
      <c r="P13" s="34">
        <f t="shared" si="3"/>
        <v>648.14811417270892</v>
      </c>
      <c r="Q13" s="34">
        <f t="shared" si="3"/>
        <v>736.81477619153554</v>
      </c>
      <c r="R13" s="34">
        <f t="shared" si="3"/>
        <v>837.6110375745377</v>
      </c>
      <c r="S13" s="34">
        <f t="shared" si="3"/>
        <v>952.19622751473446</v>
      </c>
      <c r="T13" s="34">
        <f t="shared" si="3"/>
        <v>1082.4566714387502</v>
      </c>
      <c r="U13" s="34">
        <f t="shared" si="3"/>
        <v>1230.5367440915713</v>
      </c>
      <c r="V13" s="34">
        <f t="shared" si="3"/>
        <v>1398.8741706832982</v>
      </c>
      <c r="W13" s="34">
        <f t="shared" si="3"/>
        <v>1590.2401572327735</v>
      </c>
      <c r="X13" s="34">
        <f t="shared" si="3"/>
        <v>1807.7850107422171</v>
      </c>
      <c r="Y13" s="34">
        <f t="shared" si="3"/>
        <v>2055.0900002117523</v>
      </c>
      <c r="Z13" s="34">
        <f t="shared" si="3"/>
        <v>2336.2263122407198</v>
      </c>
    </row>
    <row r="14" spans="1:26">
      <c r="A14" s="70"/>
      <c r="B14" s="48"/>
      <c r="G14"/>
      <c r="I14"/>
    </row>
    <row r="15" spans="1:26">
      <c r="A15" s="70"/>
      <c r="B15" s="53"/>
      <c r="G15"/>
      <c r="I15"/>
    </row>
    <row r="16" spans="1:26">
      <c r="A16" s="5" t="s">
        <v>353</v>
      </c>
      <c r="B16" s="53"/>
      <c r="G16"/>
      <c r="I16"/>
    </row>
    <row r="17" spans="1:26">
      <c r="A17" s="70" t="s">
        <v>354</v>
      </c>
      <c r="B17" s="70" t="s">
        <v>350</v>
      </c>
      <c r="C17" s="278"/>
      <c r="D17" s="34">
        <f>SUM(D55:D58)*$B$66</f>
        <v>3173952.7897029128</v>
      </c>
      <c r="E17" s="278"/>
      <c r="F17" s="278"/>
      <c r="G17" s="278"/>
      <c r="H17" s="278"/>
      <c r="I17" s="278"/>
      <c r="J17" s="278"/>
      <c r="K17" s="278"/>
      <c r="L17" s="278"/>
      <c r="M17" s="278"/>
      <c r="N17" s="278"/>
      <c r="O17" s="278"/>
      <c r="P17" s="278"/>
      <c r="Q17" s="278"/>
      <c r="R17" s="278"/>
      <c r="S17" s="278"/>
      <c r="T17" s="278"/>
      <c r="U17" s="278"/>
      <c r="V17" s="278"/>
      <c r="W17" s="278"/>
      <c r="X17" s="278"/>
      <c r="Y17" s="278"/>
      <c r="Z17" s="278"/>
    </row>
    <row r="18" spans="1:26">
      <c r="A18" s="70" t="s">
        <v>355</v>
      </c>
      <c r="B18" s="225" t="s">
        <v>350</v>
      </c>
      <c r="C18" s="189">
        <v>0</v>
      </c>
      <c r="E18" s="34">
        <f t="shared" ref="E18:Z18" si="4">SUM(E55:E58)*$B$66</f>
        <v>3206981.2229259997</v>
      </c>
      <c r="F18" s="34">
        <f t="shared" si="4"/>
        <v>3240009.6561490861</v>
      </c>
      <c r="G18" s="34">
        <f t="shared" si="4"/>
        <v>3273038.0893721734</v>
      </c>
      <c r="H18" s="34">
        <f t="shared" si="4"/>
        <v>3306066.5225952608</v>
      </c>
      <c r="I18" s="34">
        <f t="shared" si="4"/>
        <v>3339094.9558183476</v>
      </c>
      <c r="J18" s="34">
        <f t="shared" si="4"/>
        <v>3372123.389041435</v>
      </c>
      <c r="K18" s="34">
        <f t="shared" si="4"/>
        <v>3382394.6283472576</v>
      </c>
      <c r="L18" s="34">
        <f t="shared" si="4"/>
        <v>3392665.8676530812</v>
      </c>
      <c r="M18" s="34">
        <f t="shared" si="4"/>
        <v>3402937.1069589048</v>
      </c>
      <c r="N18" s="34">
        <f t="shared" si="4"/>
        <v>3413208.3462647279</v>
      </c>
      <c r="O18" s="34">
        <f t="shared" si="4"/>
        <v>3423479.585570551</v>
      </c>
      <c r="P18" s="34">
        <f t="shared" si="4"/>
        <v>3433750.8248763746</v>
      </c>
      <c r="Q18" s="34">
        <f t="shared" si="4"/>
        <v>3444022.0641821977</v>
      </c>
      <c r="R18" s="34">
        <f t="shared" si="4"/>
        <v>3454293.3034880208</v>
      </c>
      <c r="S18" s="34">
        <f t="shared" si="4"/>
        <v>3464564.5427938444</v>
      </c>
      <c r="T18" s="34">
        <f t="shared" si="4"/>
        <v>3474835.7820996684</v>
      </c>
      <c r="U18" s="34">
        <f t="shared" si="4"/>
        <v>3485421.7762838057</v>
      </c>
      <c r="V18" s="34">
        <f t="shared" si="4"/>
        <v>3496007.7704679435</v>
      </c>
      <c r="W18" s="34">
        <f t="shared" si="4"/>
        <v>3506593.7646520813</v>
      </c>
      <c r="X18" s="34">
        <f t="shared" si="4"/>
        <v>3517179.75883622</v>
      </c>
      <c r="Y18" s="34">
        <f t="shared" si="4"/>
        <v>3527765.7530203573</v>
      </c>
      <c r="Z18" s="34">
        <f t="shared" si="4"/>
        <v>3538351.7472044956</v>
      </c>
    </row>
    <row r="19" spans="1:26">
      <c r="A19" s="70"/>
      <c r="B19" s="225" t="s">
        <v>512</v>
      </c>
      <c r="C19" s="278">
        <f>0.5*C26</f>
        <v>0</v>
      </c>
      <c r="D19" s="278">
        <f>0.5*D26</f>
        <v>-7554.2030280509962</v>
      </c>
      <c r="E19" s="278">
        <f>0.5*E26</f>
        <v>-15277.350127962027</v>
      </c>
      <c r="F19" s="278">
        <f>0.5*F26</f>
        <v>-15448.030186621467</v>
      </c>
      <c r="G19" s="278">
        <f t="shared" ref="G19:Z19" si="5">0.5*G26</f>
        <v>-15620.683715074489</v>
      </c>
      <c r="H19" s="278">
        <f t="shared" si="5"/>
        <v>-15795.580683988836</v>
      </c>
      <c r="I19" s="278">
        <f t="shared" si="5"/>
        <v>-15973.027996019628</v>
      </c>
      <c r="J19" s="278">
        <f t="shared" si="5"/>
        <v>-16153.374538105185</v>
      </c>
      <c r="K19" s="278">
        <f t="shared" si="5"/>
        <v>-16229.354988463638</v>
      </c>
      <c r="L19" s="278">
        <f t="shared" si="5"/>
        <v>-16309.082155106906</v>
      </c>
      <c r="M19" s="278">
        <f t="shared" si="5"/>
        <v>-16393.068588822753</v>
      </c>
      <c r="N19" s="278">
        <f t="shared" si="5"/>
        <v>-16481.896957346707</v>
      </c>
      <c r="O19" s="278">
        <f t="shared" si="5"/>
        <v>-16576.22963736052</v>
      </c>
      <c r="P19" s="278">
        <f t="shared" si="5"/>
        <v>-16676.819618676</v>
      </c>
      <c r="Q19" s="278">
        <f t="shared" si="5"/>
        <v>-16784.522900111217</v>
      </c>
      <c r="R19" s="278">
        <f t="shared" si="5"/>
        <v>-16900.312581122551</v>
      </c>
      <c r="S19" s="278">
        <f t="shared" si="5"/>
        <v>-17025.294881172009</v>
      </c>
      <c r="T19" s="278">
        <f t="shared" si="5"/>
        <v>-17160.727350544024</v>
      </c>
      <c r="U19" s="278">
        <f t="shared" si="5"/>
        <v>-17309.528645256432</v>
      </c>
      <c r="V19" s="278">
        <f t="shared" si="5"/>
        <v>-17471.834842594781</v>
      </c>
      <c r="W19" s="278">
        <f t="shared" si="5"/>
        <v>-17649.493413238291</v>
      </c>
      <c r="X19" s="278">
        <f t="shared" si="5"/>
        <v>-17844.604561855122</v>
      </c>
      <c r="Y19" s="278">
        <f t="shared" si="5"/>
        <v>-18059.555801112008</v>
      </c>
      <c r="Z19" s="278">
        <f t="shared" si="5"/>
        <v>-18297.061255408513</v>
      </c>
    </row>
    <row r="20" spans="1:26">
      <c r="B20" s="70" t="s">
        <v>621</v>
      </c>
      <c r="C20" s="278"/>
      <c r="D20" s="278">
        <v>0</v>
      </c>
      <c r="E20" s="278">
        <f t="shared" ref="E20:Z20" si="6">(E18)+E19</f>
        <v>3191703.8727980377</v>
      </c>
      <c r="F20" s="278">
        <f t="shared" si="6"/>
        <v>3224561.6259624646</v>
      </c>
      <c r="G20" s="278">
        <f t="shared" si="6"/>
        <v>3257417.4056570991</v>
      </c>
      <c r="H20" s="278">
        <f t="shared" si="6"/>
        <v>3290270.9419112718</v>
      </c>
      <c r="I20" s="278">
        <f t="shared" si="6"/>
        <v>3323121.9278223282</v>
      </c>
      <c r="J20" s="278">
        <f t="shared" si="6"/>
        <v>3355970.01450333</v>
      </c>
      <c r="K20" s="278">
        <f t="shared" si="6"/>
        <v>3366165.2733587939</v>
      </c>
      <c r="L20" s="278">
        <f t="shared" si="6"/>
        <v>3376356.7854979741</v>
      </c>
      <c r="M20" s="278">
        <f t="shared" si="6"/>
        <v>3386544.0383700822</v>
      </c>
      <c r="N20" s="278">
        <f t="shared" si="6"/>
        <v>3396726.4493073812</v>
      </c>
      <c r="O20" s="278">
        <f t="shared" si="6"/>
        <v>3406903.3559331903</v>
      </c>
      <c r="P20" s="278">
        <f t="shared" si="6"/>
        <v>3417074.0052576987</v>
      </c>
      <c r="Q20" s="278">
        <f t="shared" si="6"/>
        <v>3427237.5412820866</v>
      </c>
      <c r="R20" s="278">
        <f t="shared" si="6"/>
        <v>3437392.9909068984</v>
      </c>
      <c r="S20" s="278">
        <f t="shared" si="6"/>
        <v>3447539.2479126723</v>
      </c>
      <c r="T20" s="278">
        <f t="shared" si="6"/>
        <v>3457675.0547491242</v>
      </c>
      <c r="U20" s="278">
        <f t="shared" si="6"/>
        <v>3468112.2476385492</v>
      </c>
      <c r="V20" s="278">
        <f t="shared" si="6"/>
        <v>3478535.9356253487</v>
      </c>
      <c r="W20" s="278">
        <f t="shared" si="6"/>
        <v>3488944.271238843</v>
      </c>
      <c r="X20" s="278">
        <f t="shared" si="6"/>
        <v>3499335.1542743649</v>
      </c>
      <c r="Y20" s="278">
        <f t="shared" si="6"/>
        <v>3509706.1972192451</v>
      </c>
      <c r="Z20" s="278">
        <f t="shared" si="6"/>
        <v>3520054.6859490871</v>
      </c>
    </row>
    <row r="21" spans="1:26">
      <c r="G21"/>
      <c r="I21"/>
    </row>
    <row r="22" spans="1:26">
      <c r="A22" s="70"/>
      <c r="G22"/>
      <c r="I22"/>
    </row>
    <row r="23" spans="1:26">
      <c r="A23" s="70"/>
      <c r="B23" s="58" t="s">
        <v>420</v>
      </c>
      <c r="G23"/>
      <c r="I23"/>
    </row>
    <row r="24" spans="1:26">
      <c r="B24" s="78" t="s">
        <v>488</v>
      </c>
      <c r="C24" s="278">
        <f>C6+C7+C12+C13</f>
        <v>0</v>
      </c>
      <c r="D24" s="278">
        <f t="shared" ref="D24:Z24" si="7">D6+D7+D12+D13</f>
        <v>26439.710598178484</v>
      </c>
      <c r="E24" s="278">
        <f t="shared" si="7"/>
        <v>53470.725447867095</v>
      </c>
      <c r="F24" s="278">
        <f t="shared" si="7"/>
        <v>54068.105653175138</v>
      </c>
      <c r="G24" s="278">
        <f t="shared" si="7"/>
        <v>54672.393002760706</v>
      </c>
      <c r="H24" s="278">
        <f t="shared" si="7"/>
        <v>55284.53239396093</v>
      </c>
      <c r="I24" s="278">
        <f t="shared" si="7"/>
        <v>55905.597986068693</v>
      </c>
      <c r="J24" s="278">
        <f t="shared" si="7"/>
        <v>56536.81088336814</v>
      </c>
      <c r="K24" s="278">
        <f t="shared" si="7"/>
        <v>56802.742459622736</v>
      </c>
      <c r="L24" s="278">
        <f t="shared" si="7"/>
        <v>57081.787542874168</v>
      </c>
      <c r="M24" s="278">
        <f t="shared" si="7"/>
        <v>57375.740060879638</v>
      </c>
      <c r="N24" s="278">
        <f t="shared" si="7"/>
        <v>57686.639350713478</v>
      </c>
      <c r="O24" s="278">
        <f t="shared" si="7"/>
        <v>58016.803730761821</v>
      </c>
      <c r="P24" s="278">
        <f t="shared" si="7"/>
        <v>58368.868665365997</v>
      </c>
      <c r="Q24" s="278">
        <f t="shared" si="7"/>
        <v>58745.830150389258</v>
      </c>
      <c r="R24" s="278">
        <f t="shared" si="7"/>
        <v>59151.094033928923</v>
      </c>
      <c r="S24" s="278">
        <f t="shared" si="7"/>
        <v>59588.532084102037</v>
      </c>
      <c r="T24" s="278">
        <f t="shared" si="7"/>
        <v>60062.545726904078</v>
      </c>
      <c r="U24" s="278">
        <f t="shared" si="7"/>
        <v>60583.350258397506</v>
      </c>
      <c r="V24" s="278">
        <f t="shared" si="7"/>
        <v>61151.421949081727</v>
      </c>
      <c r="W24" s="278">
        <f t="shared" si="7"/>
        <v>61773.226946334027</v>
      </c>
      <c r="X24" s="278">
        <f t="shared" si="7"/>
        <v>62456.115966492922</v>
      </c>
      <c r="Y24" s="278">
        <f t="shared" si="7"/>
        <v>63208.445303892018</v>
      </c>
      <c r="Z24" s="278">
        <f t="shared" si="7"/>
        <v>64039.714393929789</v>
      </c>
    </row>
    <row r="25" spans="1:26">
      <c r="B25" s="78" t="s">
        <v>489</v>
      </c>
      <c r="C25" s="394"/>
      <c r="D25" s="278">
        <f>-D24*$A$57</f>
        <v>-13209.68360815191</v>
      </c>
      <c r="E25" s="278">
        <f>-E24*$A$57</f>
        <v>-26714.791859837624</v>
      </c>
      <c r="F25" s="278">
        <f t="shared" ref="F25:Z25" si="8">-F24*$A$57</f>
        <v>-27013.252142774145</v>
      </c>
      <c r="G25" s="278">
        <f t="shared" si="8"/>
        <v>-27315.163340583698</v>
      </c>
      <c r="H25" s="278">
        <f t="shared" si="8"/>
        <v>-27620.997538420903</v>
      </c>
      <c r="I25" s="278">
        <f t="shared" si="8"/>
        <v>-27931.291402689534</v>
      </c>
      <c r="J25" s="278">
        <f t="shared" si="8"/>
        <v>-28246.655015757409</v>
      </c>
      <c r="K25" s="278">
        <f t="shared" si="8"/>
        <v>-28379.518496645222</v>
      </c>
      <c r="L25" s="278">
        <f t="shared" si="8"/>
        <v>-28518.933686099517</v>
      </c>
      <c r="M25" s="278">
        <f t="shared" si="8"/>
        <v>-28665.796857852212</v>
      </c>
      <c r="N25" s="278">
        <f t="shared" si="8"/>
        <v>-28821.126895881716</v>
      </c>
      <c r="O25" s="278">
        <f t="shared" si="8"/>
        <v>-28986.082067494703</v>
      </c>
      <c r="P25" s="278">
        <f t="shared" si="8"/>
        <v>-29161.979090965386</v>
      </c>
      <c r="Q25" s="278">
        <f t="shared" si="8"/>
        <v>-29350.314811627904</v>
      </c>
      <c r="R25" s="278">
        <f t="shared" si="8"/>
        <v>-29552.790843258095</v>
      </c>
      <c r="S25" s="278">
        <f t="shared" si="8"/>
        <v>-29771.341580396336</v>
      </c>
      <c r="T25" s="278">
        <f t="shared" si="8"/>
        <v>-30008.166042756144</v>
      </c>
      <c r="U25" s="278">
        <f t="shared" si="8"/>
        <v>-30268.367948415198</v>
      </c>
      <c r="V25" s="278">
        <f t="shared" si="8"/>
        <v>-30552.185249395927</v>
      </c>
      <c r="W25" s="278">
        <f t="shared" si="8"/>
        <v>-30862.848531778316</v>
      </c>
      <c r="X25" s="278">
        <f t="shared" si="8"/>
        <v>-31204.030325818127</v>
      </c>
      <c r="Y25" s="278">
        <f t="shared" si="8"/>
        <v>-31579.905563910077</v>
      </c>
      <c r="Z25" s="278">
        <f t="shared" si="8"/>
        <v>-31995.220309200511</v>
      </c>
    </row>
    <row r="26" spans="1:26">
      <c r="B26" s="78" t="s">
        <v>490</v>
      </c>
      <c r="C26" s="278">
        <f>-(C6+C12)</f>
        <v>0</v>
      </c>
      <c r="D26" s="278">
        <f t="shared" ref="D26:Z26" si="9">-(D6+D12)</f>
        <v>-15108.406056101992</v>
      </c>
      <c r="E26" s="278">
        <f t="shared" si="9"/>
        <v>-30554.700255924054</v>
      </c>
      <c r="F26" s="278">
        <f t="shared" si="9"/>
        <v>-30896.060373242934</v>
      </c>
      <c r="G26" s="278">
        <f t="shared" si="9"/>
        <v>-31241.367430148977</v>
      </c>
      <c r="H26" s="278">
        <f t="shared" si="9"/>
        <v>-31591.161367977671</v>
      </c>
      <c r="I26" s="278">
        <f t="shared" si="9"/>
        <v>-31946.055992039255</v>
      </c>
      <c r="J26" s="278">
        <f t="shared" si="9"/>
        <v>-32306.74907621037</v>
      </c>
      <c r="K26" s="278">
        <f t="shared" si="9"/>
        <v>-32458.709976927275</v>
      </c>
      <c r="L26" s="278">
        <f t="shared" si="9"/>
        <v>-32618.164310213811</v>
      </c>
      <c r="M26" s="278">
        <f t="shared" si="9"/>
        <v>-32786.137177645505</v>
      </c>
      <c r="N26" s="278">
        <f t="shared" si="9"/>
        <v>-32963.793914693415</v>
      </c>
      <c r="O26" s="278">
        <f t="shared" si="9"/>
        <v>-33152.459274721041</v>
      </c>
      <c r="P26" s="278">
        <f t="shared" si="9"/>
        <v>-33353.639237351999</v>
      </c>
      <c r="Q26" s="278">
        <f t="shared" si="9"/>
        <v>-33569.045800222433</v>
      </c>
      <c r="R26" s="278">
        <f t="shared" si="9"/>
        <v>-33800.625162245102</v>
      </c>
      <c r="S26" s="278">
        <f t="shared" si="9"/>
        <v>-34050.589762344018</v>
      </c>
      <c r="T26" s="278">
        <f t="shared" si="9"/>
        <v>-34321.454701088049</v>
      </c>
      <c r="U26" s="278">
        <f t="shared" si="9"/>
        <v>-34619.057290512865</v>
      </c>
      <c r="V26" s="278">
        <f t="shared" si="9"/>
        <v>-34943.669685189561</v>
      </c>
      <c r="W26" s="278">
        <f t="shared" si="9"/>
        <v>-35298.986826476583</v>
      </c>
      <c r="X26" s="278">
        <f t="shared" si="9"/>
        <v>-35689.209123710243</v>
      </c>
      <c r="Y26" s="278">
        <f t="shared" si="9"/>
        <v>-36119.111602224017</v>
      </c>
      <c r="Z26" s="278">
        <f t="shared" si="9"/>
        <v>-36594.122510817026</v>
      </c>
    </row>
    <row r="27" spans="1:26">
      <c r="B27" s="78" t="s">
        <v>491</v>
      </c>
      <c r="C27" s="278">
        <f>-('Mode Operating Assumptions'!$C$27*(C6+C12))</f>
        <v>0</v>
      </c>
      <c r="D27" s="278">
        <f>-('Mode Operating Assumptions'!$C$27*(D6+D12))</f>
        <v>-98204.639364662944</v>
      </c>
      <c r="E27" s="278">
        <f>-('Mode Operating Assumptions'!$C$27*(E6+E12))</f>
        <v>-198605.55166350634</v>
      </c>
      <c r="F27" s="278">
        <f>-('Mode Operating Assumptions'!$C$27*(F6+F12))</f>
        <v>-200824.39242607908</v>
      </c>
      <c r="G27" s="278">
        <f>-('Mode Operating Assumptions'!$C$27*(G6+G12))</f>
        <v>-203068.88829596835</v>
      </c>
      <c r="H27" s="278">
        <f>-('Mode Operating Assumptions'!$C$27*(H6+H12))</f>
        <v>-205342.54889185485</v>
      </c>
      <c r="I27" s="278">
        <f>-('Mode Operating Assumptions'!$C$27*(I6+I12))</f>
        <v>-207649.36394825517</v>
      </c>
      <c r="J27" s="278">
        <f>-('Mode Operating Assumptions'!$C$27*(J6+J12))</f>
        <v>-209993.8689953674</v>
      </c>
      <c r="K27" s="278">
        <f>-('Mode Operating Assumptions'!$C$27*(K6+K12))</f>
        <v>-210981.61485002728</v>
      </c>
      <c r="L27" s="278">
        <f>-('Mode Operating Assumptions'!$C$27*(L6+L12))</f>
        <v>-212018.06801638976</v>
      </c>
      <c r="M27" s="278">
        <f>-('Mode Operating Assumptions'!$C$27*(M6+M12))</f>
        <v>-213109.89165469579</v>
      </c>
      <c r="N27" s="278">
        <f>-('Mode Operating Assumptions'!$C$27*(N6+N12))</f>
        <v>-214264.66044550721</v>
      </c>
      <c r="O27" s="278">
        <f>-('Mode Operating Assumptions'!$C$27*(O6+O12))</f>
        <v>-215490.98528568677</v>
      </c>
      <c r="P27" s="278">
        <f>-('Mode Operating Assumptions'!$C$27*(P6+P12))</f>
        <v>-216798.65504278798</v>
      </c>
      <c r="Q27" s="278">
        <f>-('Mode Operating Assumptions'!$C$27*(Q6+Q12))</f>
        <v>-218198.79770144582</v>
      </c>
      <c r="R27" s="278">
        <f>-('Mode Operating Assumptions'!$C$27*(R6+R12))</f>
        <v>-219704.06355459316</v>
      </c>
      <c r="S27" s="278">
        <f>-('Mode Operating Assumptions'!$C$27*(S6+S12))</f>
        <v>-221328.8334552361</v>
      </c>
      <c r="T27" s="278">
        <f>-('Mode Operating Assumptions'!$C$27*(T6+T12))</f>
        <v>-223089.4555570723</v>
      </c>
      <c r="U27" s="278">
        <f>-('Mode Operating Assumptions'!$C$27*(U6+U12))</f>
        <v>-225023.87238833361</v>
      </c>
      <c r="V27" s="278">
        <f>-('Mode Operating Assumptions'!$C$27*(V6+V12))</f>
        <v>-227133.85295373216</v>
      </c>
      <c r="W27" s="278">
        <f>-('Mode Operating Assumptions'!$C$27*(W6+W12))</f>
        <v>-229443.41437209779</v>
      </c>
      <c r="X27" s="278">
        <f>-('Mode Operating Assumptions'!$C$27*(X6+X12))</f>
        <v>-231979.85930411657</v>
      </c>
      <c r="Y27" s="278">
        <f>-('Mode Operating Assumptions'!$C$27*(Y6+Y12))</f>
        <v>-234774.2254144561</v>
      </c>
      <c r="Z27" s="278">
        <f>-('Mode Operating Assumptions'!$C$27*(Z6+Z12))</f>
        <v>-237861.79632031068</v>
      </c>
    </row>
    <row r="28" spans="1:26">
      <c r="A28" s="70"/>
      <c r="B28" s="54" t="s">
        <v>492</v>
      </c>
      <c r="C28" s="227">
        <f>-(C27*'Mode Operating Assumptions'!$C$8/'Mode Operating Assumptions'!C11)</f>
        <v>0</v>
      </c>
      <c r="D28" s="227">
        <f>-(D27*'Mode Operating Assumptions'!$C$8/'Mode Operating Assumptions'!D11)</f>
        <v>17305.905922395203</v>
      </c>
      <c r="E28" s="227">
        <f>-(E27*'Mode Operating Assumptions'!$C$8/'Mode Operating Assumptions'!E11)</f>
        <v>34210.075703199225</v>
      </c>
      <c r="F28" s="227">
        <f>-(F27*'Mode Operating Assumptions'!$C$8/'Mode Operating Assumptions'!F11)</f>
        <v>33829.849991455005</v>
      </c>
      <c r="G28" s="227">
        <f>-(G27*'Mode Operating Assumptions'!$C$8/'Mode Operating Assumptions'!G11)</f>
        <v>33470.251944304706</v>
      </c>
      <c r="H28" s="227">
        <f>-(H27*'Mode Operating Assumptions'!$C$8/'Mode Operating Assumptions'!H11)</f>
        <v>33130.541477849758</v>
      </c>
      <c r="I28" s="227">
        <f>-(I27*'Mode Operating Assumptions'!$C$8/'Mode Operating Assumptions'!I11)</f>
        <v>32810.11557007517</v>
      </c>
      <c r="J28" s="227">
        <f>-(J27*'Mode Operating Assumptions'!$C$8/'Mode Operating Assumptions'!J11)</f>
        <v>32508.504547858032</v>
      </c>
      <c r="K28" s="227">
        <f>-(K27*'Mode Operating Assumptions'!$C$8/'Mode Operating Assumptions'!K11)</f>
        <v>32013.00302758042</v>
      </c>
      <c r="L28" s="227">
        <f>-(L27*'Mode Operating Assumptions'!$C$8/'Mode Operating Assumptions'!L11)</f>
        <v>32153.232146311704</v>
      </c>
      <c r="M28" s="227">
        <f>-(M27*'Mode Operating Assumptions'!$C$8/'Mode Operating Assumptions'!M11)</f>
        <v>32301.705496364033</v>
      </c>
      <c r="N28" s="227">
        <f>-(N27*'Mode Operating Assumptions'!$C$8/'Mode Operating Assumptions'!N11)</f>
        <v>32459.557504185883</v>
      </c>
      <c r="O28" s="227">
        <f>-(O27*'Mode Operating Assumptions'!$C$8/'Mode Operating Assumptions'!O11)</f>
        <v>32628.077093441745</v>
      </c>
      <c r="P28" s="227">
        <f>-(P27*'Mode Operating Assumptions'!$C$8/'Mode Operating Assumptions'!P11)</f>
        <v>32808.728728885595</v>
      </c>
      <c r="Q28" s="227">
        <f>-(Q27*'Mode Operating Assumptions'!$C$8/'Mode Operating Assumptions'!Q11)</f>
        <v>33003.176326642766</v>
      </c>
      <c r="R28" s="227">
        <f>-(R27*'Mode Operating Assumptions'!$C$8/'Mode Operating Assumptions'!R11)</f>
        <v>33213.31042134406</v>
      </c>
      <c r="S28" s="227">
        <f>-(S27*'Mode Operating Assumptions'!$C$8/'Mode Operating Assumptions'!S11)</f>
        <v>33441.27903374067</v>
      </c>
      <c r="T28" s="227">
        <f>-(T27*'Mode Operating Assumptions'!$C$8/'Mode Operating Assumptions'!T11)</f>
        <v>33689.522742858018</v>
      </c>
      <c r="U28" s="227">
        <f>-(U27*'Mode Operating Assumptions'!$C$8/'Mode Operating Assumptions'!U11)</f>
        <v>33963.736306347164</v>
      </c>
      <c r="V28" s="227">
        <f>-(V27*'Mode Operating Assumptions'!$C$8/'Mode Operating Assumptions'!V11)</f>
        <v>34264.145546940374</v>
      </c>
      <c r="W28" s="227">
        <f>-(W27*'Mode Operating Assumptions'!$C$8/'Mode Operating Assumptions'!W11)</f>
        <v>34594.330271159793</v>
      </c>
      <c r="X28" s="227">
        <f>-(X27*'Mode Operating Assumptions'!$C$8/'Mode Operating Assumptions'!X11)</f>
        <v>34958.357867602368</v>
      </c>
      <c r="Y28" s="227">
        <f>-(Y27*'Mode Operating Assumptions'!$C$8/'Mode Operating Assumptions'!Y11)</f>
        <v>35360.849721147824</v>
      </c>
      <c r="Z28" s="227">
        <f>-(Z27*'Mode Operating Assumptions'!$C$8/'Mode Operating Assumptions'!Z11)</f>
        <v>35807.056673698287</v>
      </c>
    </row>
    <row r="29" spans="1:26">
      <c r="A29" s="70"/>
      <c r="B29" s="54"/>
      <c r="C29" s="227"/>
      <c r="D29" s="227"/>
      <c r="E29" s="227"/>
      <c r="F29" s="227"/>
      <c r="G29" s="227"/>
      <c r="H29" s="227"/>
      <c r="I29" s="227"/>
      <c r="J29" s="227"/>
      <c r="K29" s="227"/>
      <c r="L29" s="227"/>
      <c r="M29" s="227"/>
      <c r="N29" s="227"/>
      <c r="O29" s="227"/>
      <c r="P29" s="227"/>
      <c r="Q29" s="227"/>
      <c r="R29" s="227"/>
      <c r="S29" s="227"/>
      <c r="T29" s="227"/>
      <c r="U29" s="227"/>
      <c r="V29" s="227"/>
      <c r="W29" s="227"/>
      <c r="X29" s="227"/>
      <c r="Y29" s="227"/>
      <c r="Z29" s="227"/>
    </row>
    <row r="30" spans="1:26">
      <c r="A30" s="70"/>
      <c r="B30" s="54"/>
      <c r="C30" s="227"/>
      <c r="D30" s="227"/>
      <c r="E30" s="227"/>
      <c r="F30" s="227"/>
      <c r="G30" s="227"/>
      <c r="H30" s="227"/>
      <c r="I30" s="227"/>
      <c r="J30" s="227"/>
      <c r="K30" s="227"/>
      <c r="L30" s="227"/>
      <c r="M30" s="227"/>
      <c r="N30" s="227"/>
      <c r="O30" s="227"/>
      <c r="P30" s="227"/>
      <c r="Q30" s="227"/>
      <c r="R30" s="227"/>
      <c r="S30" s="227"/>
      <c r="T30" s="227"/>
      <c r="U30" s="227"/>
      <c r="V30" s="227"/>
      <c r="W30" s="227"/>
      <c r="X30" s="227"/>
      <c r="Y30" s="227"/>
      <c r="Z30" s="227"/>
    </row>
    <row r="31" spans="1:26">
      <c r="A31" s="70"/>
      <c r="B31" s="54"/>
      <c r="C31" s="227"/>
      <c r="D31" s="227"/>
      <c r="E31" s="227"/>
      <c r="F31" s="227"/>
      <c r="G31" s="227"/>
      <c r="H31" s="227"/>
      <c r="I31" s="227"/>
      <c r="J31" s="227"/>
      <c r="K31" s="227"/>
      <c r="L31" s="227"/>
      <c r="M31" s="227"/>
      <c r="N31" s="227"/>
      <c r="O31" s="227"/>
      <c r="P31" s="227"/>
      <c r="Q31" s="227"/>
      <c r="R31" s="227"/>
      <c r="S31" s="227"/>
      <c r="T31" s="227"/>
      <c r="U31" s="227"/>
      <c r="V31" s="227"/>
      <c r="W31" s="227"/>
      <c r="X31" s="227"/>
      <c r="Y31" s="227"/>
      <c r="Z31" s="227"/>
    </row>
    <row r="32" spans="1:26">
      <c r="A32" s="70"/>
      <c r="B32" s="54"/>
      <c r="C32" s="227"/>
      <c r="D32" s="227"/>
      <c r="E32" s="227"/>
      <c r="F32" s="227"/>
      <c r="G32" s="227"/>
      <c r="H32" s="227"/>
      <c r="I32" s="227"/>
      <c r="J32" s="227"/>
      <c r="K32" s="227"/>
      <c r="L32" s="227"/>
      <c r="M32" s="227"/>
      <c r="N32" s="227"/>
      <c r="O32" s="227"/>
      <c r="P32" s="227"/>
      <c r="Q32" s="227"/>
      <c r="R32" s="227"/>
      <c r="S32" s="227"/>
      <c r="T32" s="227"/>
      <c r="U32" s="227"/>
      <c r="V32" s="227"/>
      <c r="W32" s="227"/>
      <c r="X32" s="227"/>
      <c r="Y32" s="227"/>
      <c r="Z32" s="227"/>
    </row>
    <row r="33" spans="1:26">
      <c r="A33" s="70"/>
      <c r="B33" s="54"/>
      <c r="C33" s="227"/>
      <c r="D33" s="227"/>
      <c r="E33" s="227"/>
      <c r="F33" s="227"/>
      <c r="G33" s="227"/>
      <c r="H33" s="227"/>
      <c r="I33" s="227"/>
      <c r="J33" s="227"/>
      <c r="K33" s="227"/>
      <c r="L33" s="227"/>
      <c r="M33" s="227"/>
      <c r="N33" s="227"/>
      <c r="O33" s="227"/>
      <c r="P33" s="227"/>
      <c r="Q33" s="227"/>
      <c r="R33" s="227"/>
      <c r="S33" s="227"/>
      <c r="T33" s="227"/>
      <c r="U33" s="227"/>
      <c r="V33" s="227"/>
      <c r="W33" s="227"/>
      <c r="X33" s="227"/>
      <c r="Y33" s="227"/>
      <c r="Z33" s="227"/>
    </row>
    <row r="34" spans="1:26">
      <c r="A34" s="70"/>
      <c r="B34" s="54"/>
      <c r="C34" s="227"/>
      <c r="D34" s="227"/>
      <c r="E34" s="227"/>
      <c r="F34" s="227"/>
      <c r="G34" s="227"/>
      <c r="H34" s="227"/>
      <c r="I34" s="227"/>
      <c r="J34" s="227"/>
      <c r="K34" s="227"/>
      <c r="L34" s="227"/>
      <c r="M34" s="227"/>
      <c r="N34" s="227"/>
      <c r="O34" s="227"/>
      <c r="P34" s="227"/>
      <c r="Q34" s="227"/>
      <c r="R34" s="227"/>
      <c r="S34" s="227"/>
      <c r="T34" s="227"/>
      <c r="U34" s="227"/>
      <c r="V34" s="227"/>
      <c r="W34" s="227"/>
      <c r="X34" s="227"/>
      <c r="Y34" s="227"/>
      <c r="Z34" s="227"/>
    </row>
    <row r="35" spans="1:26">
      <c r="G35"/>
      <c r="I35"/>
    </row>
    <row r="36" spans="1:26" s="377" customFormat="1" ht="11.25">
      <c r="A36" s="550" t="s">
        <v>248</v>
      </c>
      <c r="B36" s="552" t="s">
        <v>249</v>
      </c>
      <c r="C36" s="553"/>
      <c r="D36" s="553"/>
      <c r="E36" s="554"/>
      <c r="F36" s="552" t="s">
        <v>250</v>
      </c>
      <c r="G36" s="553"/>
      <c r="H36" s="553"/>
      <c r="I36" s="554"/>
    </row>
    <row r="37" spans="1:26" s="377" customFormat="1" ht="12" thickBot="1">
      <c r="A37" s="551"/>
      <c r="B37" s="144">
        <v>2005</v>
      </c>
      <c r="C37" s="145">
        <v>2010</v>
      </c>
      <c r="D37" s="145">
        <v>2020</v>
      </c>
      <c r="E37" s="146">
        <v>2030</v>
      </c>
      <c r="F37" s="144">
        <v>2005</v>
      </c>
      <c r="G37" s="145">
        <v>2010</v>
      </c>
      <c r="H37" s="145">
        <v>2020</v>
      </c>
      <c r="I37" s="146">
        <v>2030</v>
      </c>
    </row>
    <row r="38" spans="1:26">
      <c r="A38" s="396" t="s">
        <v>570</v>
      </c>
      <c r="B38" s="397">
        <v>6231.8571428571422</v>
      </c>
      <c r="C38" s="398">
        <v>6483.6278673438901</v>
      </c>
      <c r="D38" s="398">
        <v>7211.7941541943401</v>
      </c>
      <c r="E38" s="399">
        <v>7414.1733820700729</v>
      </c>
      <c r="F38" s="397">
        <v>6507.0952380952358</v>
      </c>
      <c r="G38" s="398">
        <v>6653.8828921490694</v>
      </c>
      <c r="H38" s="398">
        <v>7352.1937749765766</v>
      </c>
      <c r="I38" s="399">
        <v>7593.4228852588367</v>
      </c>
    </row>
    <row r="39" spans="1:26">
      <c r="D39">
        <f>(D38-C38)/10</f>
        <v>72.816628685045004</v>
      </c>
      <c r="E39">
        <f>(E38-D38)/10</f>
        <v>20.237922787573279</v>
      </c>
      <c r="H39">
        <f>(H38-G38)/10</f>
        <v>69.831088282750713</v>
      </c>
      <c r="I39">
        <f>(I38-H38)/10</f>
        <v>24.122911028226007</v>
      </c>
    </row>
    <row r="40" spans="1:26">
      <c r="D40" s="125">
        <f>D39/C38</f>
        <v>1.1230846398788671E-2</v>
      </c>
      <c r="E40" s="125">
        <f>E39/D38</f>
        <v>2.8062257955328651E-3</v>
      </c>
      <c r="F40" s="125"/>
      <c r="G40" s="378"/>
      <c r="H40" s="125">
        <f>H39/G38</f>
        <v>1.0494787692332933E-2</v>
      </c>
      <c r="I40" s="125">
        <f>I39/H38</f>
        <v>3.2810494073658796E-3</v>
      </c>
    </row>
    <row r="41" spans="1:26">
      <c r="D41" s="125"/>
      <c r="E41" s="125"/>
      <c r="F41" s="125"/>
      <c r="G41" s="378"/>
      <c r="H41" s="125"/>
      <c r="I41" s="125"/>
    </row>
    <row r="42" spans="1:26">
      <c r="C42" s="75">
        <v>2013</v>
      </c>
      <c r="D42" s="75">
        <v>2014</v>
      </c>
      <c r="E42" s="75">
        <v>2015</v>
      </c>
      <c r="F42" s="75">
        <v>2016</v>
      </c>
      <c r="G42" s="75">
        <v>2017</v>
      </c>
      <c r="H42" s="75">
        <v>2018</v>
      </c>
      <c r="I42" s="75">
        <v>2019</v>
      </c>
      <c r="J42" s="75">
        <v>2020</v>
      </c>
      <c r="K42" s="75">
        <v>2021</v>
      </c>
      <c r="L42" s="75">
        <v>2022</v>
      </c>
      <c r="M42" s="75">
        <v>2023</v>
      </c>
      <c r="N42" s="75">
        <v>2024</v>
      </c>
      <c r="O42" s="75">
        <v>2025</v>
      </c>
      <c r="P42" s="75">
        <v>2026</v>
      </c>
      <c r="Q42" s="75">
        <v>2027</v>
      </c>
      <c r="R42" s="75">
        <v>2028</v>
      </c>
      <c r="S42" s="75">
        <v>2029</v>
      </c>
      <c r="T42" s="75">
        <v>2030</v>
      </c>
      <c r="U42" s="75">
        <v>2031</v>
      </c>
      <c r="V42" s="75">
        <v>2032</v>
      </c>
      <c r="W42" s="75">
        <v>2033</v>
      </c>
      <c r="X42" s="75">
        <v>2034</v>
      </c>
      <c r="Y42" s="75">
        <v>2035</v>
      </c>
      <c r="Z42" s="75">
        <v>2036</v>
      </c>
    </row>
    <row r="43" spans="1:26">
      <c r="C43" s="75" t="s">
        <v>18</v>
      </c>
      <c r="D43" s="72" t="s">
        <v>19</v>
      </c>
      <c r="E43" s="72" t="s">
        <v>20</v>
      </c>
      <c r="F43" s="72" t="s">
        <v>21</v>
      </c>
      <c r="G43" s="72" t="s">
        <v>22</v>
      </c>
      <c r="H43" s="72" t="s">
        <v>23</v>
      </c>
      <c r="I43" s="72" t="s">
        <v>24</v>
      </c>
      <c r="J43" s="72" t="s">
        <v>25</v>
      </c>
      <c r="K43" s="72" t="s">
        <v>26</v>
      </c>
      <c r="L43" s="72" t="s">
        <v>27</v>
      </c>
      <c r="M43" s="72" t="s">
        <v>28</v>
      </c>
      <c r="N43" s="72" t="s">
        <v>29</v>
      </c>
      <c r="O43" s="72" t="s">
        <v>30</v>
      </c>
      <c r="P43" s="72" t="s">
        <v>31</v>
      </c>
      <c r="Q43" s="72" t="s">
        <v>32</v>
      </c>
      <c r="R43" s="72" t="s">
        <v>33</v>
      </c>
      <c r="S43" s="72" t="s">
        <v>34</v>
      </c>
      <c r="T43" s="72" t="s">
        <v>35</v>
      </c>
      <c r="U43" s="72" t="s">
        <v>36</v>
      </c>
      <c r="V43" s="72" t="s">
        <v>123</v>
      </c>
      <c r="W43" s="72" t="s">
        <v>242</v>
      </c>
      <c r="X43" s="72" t="s">
        <v>243</v>
      </c>
      <c r="Y43" s="72" t="s">
        <v>244</v>
      </c>
      <c r="Z43" s="72" t="s">
        <v>245</v>
      </c>
    </row>
    <row r="44" spans="1:26">
      <c r="B44" s="26" t="s">
        <v>252</v>
      </c>
      <c r="C44" s="379">
        <f>$C$38*(1+($D$40*(C42-2010)))+$G$38*(1+($H$40*(C42-2010)))</f>
        <v>13565.453910396347</v>
      </c>
      <c r="D44" s="379">
        <f t="shared" ref="D44:I44" si="10">$C$38*(1+($D$40*(D42-2010)))+$G$38*(1+($H$40*(D42-2010)))</f>
        <v>13708.101627364143</v>
      </c>
      <c r="E44" s="379">
        <f t="shared" si="10"/>
        <v>13850.749344331938</v>
      </c>
      <c r="F44" s="379">
        <f t="shared" si="10"/>
        <v>13993.397061299733</v>
      </c>
      <c r="G44" s="379">
        <f t="shared" si="10"/>
        <v>14136.044778267529</v>
      </c>
      <c r="H44" s="379">
        <f t="shared" si="10"/>
        <v>14278.692495235326</v>
      </c>
      <c r="I44" s="379">
        <f t="shared" si="10"/>
        <v>14421.340212203122</v>
      </c>
      <c r="J44" s="147">
        <f>H38+D38</f>
        <v>14563.987929170917</v>
      </c>
      <c r="K44" s="379">
        <f>$D$38*(1+($E$40*(K42-2020)))+$H$38*(1+($I$40*(K42-2020)))</f>
        <v>14608.348762986716</v>
      </c>
      <c r="L44" s="379">
        <f t="shared" ref="L44:S44" si="11">$D$38*(1+($E$40*(L42-2020)))+$H$38*(1+($I$40*(L42-2020)))</f>
        <v>14652.709596802515</v>
      </c>
      <c r="M44" s="379">
        <f t="shared" si="11"/>
        <v>14697.070430618314</v>
      </c>
      <c r="N44" s="379">
        <f t="shared" si="11"/>
        <v>14741.431264434115</v>
      </c>
      <c r="O44" s="379">
        <f t="shared" si="11"/>
        <v>14785.792098249913</v>
      </c>
      <c r="P44" s="379">
        <f t="shared" si="11"/>
        <v>14830.152932065714</v>
      </c>
      <c r="Q44" s="379">
        <f t="shared" si="11"/>
        <v>14874.513765881511</v>
      </c>
      <c r="R44" s="379">
        <f t="shared" si="11"/>
        <v>14918.87459969731</v>
      </c>
      <c r="S44" s="379">
        <f t="shared" si="11"/>
        <v>14963.235433513109</v>
      </c>
      <c r="T44" s="379">
        <f>I38+E38</f>
        <v>15007.59626732891</v>
      </c>
      <c r="U44" s="379">
        <f>$E$38*(1+($E$40*(U42-2030)))+$I$38*(1+($I$40*(U42-2030)))</f>
        <v>15053.316507583784</v>
      </c>
      <c r="V44" s="379">
        <f t="shared" ref="V44:Z44" si="12">$E$38*(1+($E$40*(V42-2030)))+$I$38*(1+($I$40*(V42-2030)))</f>
        <v>15099.03674783866</v>
      </c>
      <c r="W44" s="379">
        <f t="shared" si="12"/>
        <v>15144.756988093535</v>
      </c>
      <c r="X44" s="379">
        <f t="shared" si="12"/>
        <v>15190.477228348411</v>
      </c>
      <c r="Y44" s="379">
        <f t="shared" si="12"/>
        <v>15236.197468603285</v>
      </c>
      <c r="Z44" s="379">
        <f t="shared" si="12"/>
        <v>15281.91770885816</v>
      </c>
    </row>
    <row r="45" spans="1:26">
      <c r="U45" s="393"/>
    </row>
    <row r="47" spans="1:26" s="155" customFormat="1">
      <c r="A47" s="154" t="s">
        <v>274</v>
      </c>
      <c r="B47" s="154" t="s">
        <v>256</v>
      </c>
      <c r="C47" s="154" t="s">
        <v>257</v>
      </c>
      <c r="D47" s="154" t="s">
        <v>258</v>
      </c>
      <c r="E47" s="154" t="s">
        <v>259</v>
      </c>
      <c r="F47" s="154" t="s">
        <v>260</v>
      </c>
      <c r="G47" s="154" t="s">
        <v>261</v>
      </c>
      <c r="H47" s="154" t="s">
        <v>262</v>
      </c>
      <c r="I47" s="154" t="s">
        <v>263</v>
      </c>
      <c r="J47" s="154" t="s">
        <v>264</v>
      </c>
      <c r="K47" s="154" t="s">
        <v>265</v>
      </c>
      <c r="L47" s="154" t="s">
        <v>266</v>
      </c>
      <c r="M47" s="154" t="s">
        <v>267</v>
      </c>
      <c r="N47" s="154" t="s">
        <v>268</v>
      </c>
      <c r="O47" s="154" t="s">
        <v>269</v>
      </c>
      <c r="P47" s="154" t="s">
        <v>270</v>
      </c>
      <c r="Q47" s="154" t="s">
        <v>271</v>
      </c>
      <c r="R47" s="154" t="s">
        <v>272</v>
      </c>
    </row>
    <row r="48" spans="1:26" s="395" customFormat="1">
      <c r="A48" s="381" t="s">
        <v>569</v>
      </c>
      <c r="B48" s="382">
        <v>6712.9454899999655</v>
      </c>
      <c r="C48" s="153"/>
      <c r="D48" s="153"/>
      <c r="E48" s="153"/>
      <c r="F48" s="382">
        <v>864.07885000000033</v>
      </c>
      <c r="G48" s="153"/>
      <c r="H48" s="153"/>
      <c r="I48" s="382">
        <v>884.33072000000038</v>
      </c>
      <c r="J48" s="153"/>
      <c r="K48" s="153"/>
      <c r="L48" s="382">
        <v>3317.1394799999994</v>
      </c>
      <c r="M48" s="153"/>
      <c r="N48" s="382">
        <v>36.750709999999998</v>
      </c>
      <c r="O48" s="153"/>
      <c r="P48" s="382">
        <v>44.794559999999997</v>
      </c>
      <c r="Q48" s="382">
        <v>33.922629999999998</v>
      </c>
      <c r="R48" s="382">
        <v>1531.9285400000017</v>
      </c>
    </row>
    <row r="49" spans="1:26">
      <c r="D49" s="125">
        <f>D48/$B48</f>
        <v>0</v>
      </c>
      <c r="E49" s="125">
        <f>E48/$B48</f>
        <v>0</v>
      </c>
      <c r="F49" s="125">
        <f t="shared" ref="F49:R49" si="13">F48/$B48</f>
        <v>0.12871828786442369</v>
      </c>
      <c r="G49" s="125">
        <f t="shared" si="13"/>
        <v>0</v>
      </c>
      <c r="H49" s="125">
        <f t="shared" si="13"/>
        <v>0</v>
      </c>
      <c r="I49" s="125">
        <f t="shared" si="13"/>
        <v>0.13173512600651327</v>
      </c>
      <c r="J49" s="125">
        <f t="shared" si="13"/>
        <v>0</v>
      </c>
      <c r="K49" s="125">
        <f t="shared" si="13"/>
        <v>0</v>
      </c>
      <c r="L49" s="125">
        <f t="shared" si="13"/>
        <v>0.49414068458345495</v>
      </c>
      <c r="M49" s="125">
        <f t="shared" si="13"/>
        <v>0</v>
      </c>
      <c r="N49" s="125">
        <f t="shared" si="13"/>
        <v>5.4746027738116175E-3</v>
      </c>
      <c r="O49" s="125">
        <f t="shared" si="13"/>
        <v>0</v>
      </c>
      <c r="P49" s="125">
        <f t="shared" si="13"/>
        <v>6.6728621685858839E-3</v>
      </c>
      <c r="Q49" s="125">
        <f t="shared" si="13"/>
        <v>5.0533152772554652E-3</v>
      </c>
      <c r="R49" s="125">
        <f t="shared" si="13"/>
        <v>0.22820512132596052</v>
      </c>
    </row>
    <row r="50" spans="1:26" ht="15">
      <c r="B50" s="135" t="s">
        <v>273</v>
      </c>
      <c r="G50"/>
      <c r="I50"/>
    </row>
    <row r="51" spans="1:26">
      <c r="C51" s="75">
        <v>2013</v>
      </c>
      <c r="D51" s="75">
        <v>2014</v>
      </c>
      <c r="E51" s="75">
        <v>2015</v>
      </c>
      <c r="F51" s="75">
        <v>2016</v>
      </c>
      <c r="G51" s="75">
        <v>2017</v>
      </c>
      <c r="H51" s="75">
        <v>2018</v>
      </c>
      <c r="I51" s="75">
        <v>2019</v>
      </c>
      <c r="J51" s="75">
        <v>2020</v>
      </c>
      <c r="K51" s="75">
        <v>2021</v>
      </c>
      <c r="L51" s="75">
        <v>2022</v>
      </c>
      <c r="M51" s="75">
        <v>2023</v>
      </c>
      <c r="N51" s="75">
        <v>2024</v>
      </c>
      <c r="O51" s="75">
        <v>2025</v>
      </c>
      <c r="P51" s="75">
        <v>2026</v>
      </c>
      <c r="Q51" s="75">
        <v>2027</v>
      </c>
      <c r="R51" s="75">
        <v>2028</v>
      </c>
      <c r="S51" s="75">
        <v>2029</v>
      </c>
      <c r="T51" s="75">
        <v>2030</v>
      </c>
      <c r="U51" s="75">
        <v>2031</v>
      </c>
      <c r="V51" s="75">
        <v>2032</v>
      </c>
      <c r="W51" s="75">
        <v>2033</v>
      </c>
      <c r="X51" s="75">
        <v>2034</v>
      </c>
      <c r="Y51" s="75">
        <v>2035</v>
      </c>
      <c r="Z51" s="75">
        <v>2036</v>
      </c>
    </row>
    <row r="52" spans="1:26">
      <c r="C52" s="75" t="s">
        <v>18</v>
      </c>
      <c r="D52" s="72" t="s">
        <v>19</v>
      </c>
      <c r="E52" s="72" t="s">
        <v>20</v>
      </c>
      <c r="F52" s="72" t="s">
        <v>21</v>
      </c>
      <c r="G52" s="72" t="s">
        <v>22</v>
      </c>
      <c r="H52" s="72" t="s">
        <v>23</v>
      </c>
      <c r="I52" s="72" t="s">
        <v>24</v>
      </c>
      <c r="J52" s="72" t="s">
        <v>25</v>
      </c>
      <c r="K52" s="72" t="s">
        <v>26</v>
      </c>
      <c r="L52" s="72" t="s">
        <v>27</v>
      </c>
      <c r="M52" s="72" t="s">
        <v>28</v>
      </c>
      <c r="N52" s="72" t="s">
        <v>29</v>
      </c>
      <c r="O52" s="72" t="s">
        <v>30</v>
      </c>
      <c r="P52" s="72" t="s">
        <v>31</v>
      </c>
      <c r="Q52" s="72" t="s">
        <v>32</v>
      </c>
      <c r="R52" s="72" t="s">
        <v>33</v>
      </c>
      <c r="S52" s="72" t="s">
        <v>34</v>
      </c>
      <c r="T52" s="72" t="s">
        <v>35</v>
      </c>
      <c r="U52" s="72" t="s">
        <v>36</v>
      </c>
      <c r="V52" s="72" t="s">
        <v>123</v>
      </c>
      <c r="W52" s="72" t="s">
        <v>242</v>
      </c>
      <c r="X52" s="72" t="s">
        <v>243</v>
      </c>
      <c r="Y52" s="72" t="s">
        <v>244</v>
      </c>
      <c r="Z52" s="72" t="s">
        <v>245</v>
      </c>
    </row>
    <row r="53" spans="1:26">
      <c r="A53" s="130">
        <f>R49</f>
        <v>0.22820512132596052</v>
      </c>
      <c r="B53" t="s">
        <v>125</v>
      </c>
      <c r="C53" s="34">
        <f>C$59*$A53</f>
        <v>3095.7060554637405</v>
      </c>
      <c r="D53" s="34">
        <f t="shared" ref="D53:S58" si="14">D$59*$A53</f>
        <v>3128.2589950212478</v>
      </c>
      <c r="E53" s="34">
        <f t="shared" si="14"/>
        <v>3160.811934578755</v>
      </c>
      <c r="F53" s="34">
        <f t="shared" si="14"/>
        <v>3193.3648741362617</v>
      </c>
      <c r="G53" s="34">
        <f t="shared" si="14"/>
        <v>3225.9178136937694</v>
      </c>
      <c r="H53" s="34">
        <f t="shared" si="14"/>
        <v>3258.4707532512771</v>
      </c>
      <c r="I53" s="34">
        <f t="shared" si="14"/>
        <v>3291.0236928087843</v>
      </c>
      <c r="J53" s="34">
        <f t="shared" si="14"/>
        <v>3323.5766323662915</v>
      </c>
      <c r="K53" s="34">
        <f t="shared" si="14"/>
        <v>3333.7000018293465</v>
      </c>
      <c r="L53" s="34">
        <f t="shared" si="14"/>
        <v>3343.823371292402</v>
      </c>
      <c r="M53" s="34">
        <f t="shared" si="14"/>
        <v>3353.9467407554571</v>
      </c>
      <c r="N53" s="34">
        <f t="shared" si="14"/>
        <v>3364.0701102185126</v>
      </c>
      <c r="O53" s="34">
        <f t="shared" si="14"/>
        <v>3374.1934796815676</v>
      </c>
      <c r="P53" s="34">
        <f t="shared" si="14"/>
        <v>3384.3168491446231</v>
      </c>
      <c r="Q53" s="34">
        <f t="shared" si="14"/>
        <v>3394.4402186076786</v>
      </c>
      <c r="R53" s="34">
        <f t="shared" si="14"/>
        <v>3404.5635880707337</v>
      </c>
      <c r="S53" s="34">
        <f t="shared" si="14"/>
        <v>3414.6869575337887</v>
      </c>
      <c r="T53" s="34">
        <f t="shared" ref="S53:Z58" si="15">T$59*$A53</f>
        <v>3424.8103269968447</v>
      </c>
      <c r="U53" s="34">
        <f t="shared" si="15"/>
        <v>3435.2439199712599</v>
      </c>
      <c r="V53" s="34">
        <f t="shared" si="15"/>
        <v>3445.677512945676</v>
      </c>
      <c r="W53" s="34">
        <f t="shared" si="15"/>
        <v>3456.1111059200921</v>
      </c>
      <c r="X53" s="34">
        <f t="shared" si="15"/>
        <v>3466.5446988945082</v>
      </c>
      <c r="Y53" s="34">
        <f t="shared" si="15"/>
        <v>3476.9782918689239</v>
      </c>
      <c r="Z53" s="34">
        <f t="shared" si="15"/>
        <v>3487.4118848433395</v>
      </c>
    </row>
    <row r="54" spans="1:26">
      <c r="A54" s="130">
        <f>G49</f>
        <v>0</v>
      </c>
      <c r="B54" t="s">
        <v>222</v>
      </c>
      <c r="C54" s="34">
        <f t="shared" ref="C54:C58" si="16">C$59*$A54</f>
        <v>0</v>
      </c>
      <c r="D54" s="34">
        <f t="shared" si="14"/>
        <v>0</v>
      </c>
      <c r="E54" s="34">
        <f t="shared" si="14"/>
        <v>0</v>
      </c>
      <c r="F54" s="34">
        <f t="shared" si="14"/>
        <v>0</v>
      </c>
      <c r="G54" s="34">
        <f t="shared" si="14"/>
        <v>0</v>
      </c>
      <c r="H54" s="34">
        <f t="shared" si="14"/>
        <v>0</v>
      </c>
      <c r="I54" s="34">
        <f t="shared" si="14"/>
        <v>0</v>
      </c>
      <c r="J54" s="34">
        <f t="shared" si="14"/>
        <v>0</v>
      </c>
      <c r="K54" s="34">
        <f t="shared" si="14"/>
        <v>0</v>
      </c>
      <c r="L54" s="34">
        <f t="shared" si="14"/>
        <v>0</v>
      </c>
      <c r="M54" s="34">
        <f t="shared" si="14"/>
        <v>0</v>
      </c>
      <c r="N54" s="34">
        <f t="shared" si="14"/>
        <v>0</v>
      </c>
      <c r="O54" s="34">
        <f t="shared" si="14"/>
        <v>0</v>
      </c>
      <c r="P54" s="34">
        <f t="shared" si="14"/>
        <v>0</v>
      </c>
      <c r="Q54" s="34">
        <f t="shared" si="14"/>
        <v>0</v>
      </c>
      <c r="R54" s="34">
        <f t="shared" si="14"/>
        <v>0</v>
      </c>
      <c r="S54" s="34">
        <f t="shared" si="15"/>
        <v>0</v>
      </c>
      <c r="T54" s="34">
        <f t="shared" si="15"/>
        <v>0</v>
      </c>
      <c r="U54" s="34">
        <f t="shared" si="15"/>
        <v>0</v>
      </c>
      <c r="V54" s="34">
        <f t="shared" si="15"/>
        <v>0</v>
      </c>
      <c r="W54" s="34">
        <f t="shared" si="15"/>
        <v>0</v>
      </c>
      <c r="X54" s="34">
        <f t="shared" si="15"/>
        <v>0</v>
      </c>
      <c r="Y54" s="34">
        <f t="shared" si="15"/>
        <v>0</v>
      </c>
      <c r="Z54" s="34">
        <f t="shared" si="15"/>
        <v>0</v>
      </c>
    </row>
    <row r="55" spans="1:26">
      <c r="A55" s="130">
        <f>I49</f>
        <v>0.13173512600651327</v>
      </c>
      <c r="B55" s="26" t="s">
        <v>227</v>
      </c>
      <c r="C55" s="34">
        <f t="shared" si="16"/>
        <v>1787.0467802216206</v>
      </c>
      <c r="D55" s="34">
        <f t="shared" si="14"/>
        <v>1805.8384951909147</v>
      </c>
      <c r="E55" s="34">
        <f t="shared" si="14"/>
        <v>1824.6302101602087</v>
      </c>
      <c r="F55" s="34">
        <f t="shared" si="14"/>
        <v>1843.4219251295026</v>
      </c>
      <c r="G55" s="34">
        <f t="shared" si="14"/>
        <v>1862.2136400987968</v>
      </c>
      <c r="H55" s="34">
        <f t="shared" si="14"/>
        <v>1881.0053550680911</v>
      </c>
      <c r="I55" s="34">
        <f t="shared" si="14"/>
        <v>1899.7970700373851</v>
      </c>
      <c r="J55" s="34">
        <f t="shared" si="14"/>
        <v>1918.5887850066792</v>
      </c>
      <c r="K55" s="34">
        <f t="shared" si="14"/>
        <v>1924.4326650391577</v>
      </c>
      <c r="L55" s="34">
        <f t="shared" si="14"/>
        <v>1930.2765450716358</v>
      </c>
      <c r="M55" s="34">
        <f t="shared" si="14"/>
        <v>1936.1204251041142</v>
      </c>
      <c r="N55" s="34">
        <f t="shared" si="14"/>
        <v>1941.9643051365927</v>
      </c>
      <c r="O55" s="34">
        <f t="shared" si="14"/>
        <v>1947.8081851690708</v>
      </c>
      <c r="P55" s="34">
        <f t="shared" si="14"/>
        <v>1953.6520652015492</v>
      </c>
      <c r="Q55" s="34">
        <f t="shared" si="14"/>
        <v>1959.4959452340277</v>
      </c>
      <c r="R55" s="34">
        <f t="shared" si="14"/>
        <v>1965.3398252665058</v>
      </c>
      <c r="S55" s="34">
        <f t="shared" si="15"/>
        <v>1971.1837052989843</v>
      </c>
      <c r="T55" s="34">
        <f t="shared" si="15"/>
        <v>1977.0275853314629</v>
      </c>
      <c r="U55" s="34">
        <f t="shared" si="15"/>
        <v>1983.0505469424866</v>
      </c>
      <c r="V55" s="34">
        <f t="shared" si="15"/>
        <v>1989.0735085535107</v>
      </c>
      <c r="W55" s="34">
        <f t="shared" si="15"/>
        <v>1995.0964701645348</v>
      </c>
      <c r="X55" s="34">
        <f t="shared" si="15"/>
        <v>2001.1194317755592</v>
      </c>
      <c r="Y55" s="34">
        <f t="shared" si="15"/>
        <v>2007.1423933865831</v>
      </c>
      <c r="Z55" s="34">
        <f t="shared" si="15"/>
        <v>2013.165354997607</v>
      </c>
    </row>
    <row r="56" spans="1:26">
      <c r="A56" s="130">
        <f>F49</f>
        <v>0.12871828786442369</v>
      </c>
      <c r="B56" s="26" t="s">
        <v>228</v>
      </c>
      <c r="C56" s="34">
        <f t="shared" si="16"/>
        <v>1746.1220014499784</v>
      </c>
      <c r="D56" s="34">
        <f t="shared" si="14"/>
        <v>1764.483371345842</v>
      </c>
      <c r="E56" s="34">
        <f t="shared" si="14"/>
        <v>1782.8447412417056</v>
      </c>
      <c r="F56" s="34">
        <f t="shared" si="14"/>
        <v>1801.206111137569</v>
      </c>
      <c r="G56" s="34">
        <f t="shared" si="14"/>
        <v>1819.5674810334326</v>
      </c>
      <c r="H56" s="34">
        <f t="shared" si="14"/>
        <v>1837.9288509292967</v>
      </c>
      <c r="I56" s="34">
        <f t="shared" si="14"/>
        <v>1856.2902208251603</v>
      </c>
      <c r="J56" s="34">
        <f t="shared" si="14"/>
        <v>1874.6515907210239</v>
      </c>
      <c r="K56" s="34">
        <f t="shared" si="14"/>
        <v>1880.3616412980318</v>
      </c>
      <c r="L56" s="34">
        <f t="shared" si="14"/>
        <v>1886.0716918750397</v>
      </c>
      <c r="M56" s="34">
        <f t="shared" si="14"/>
        <v>1891.7817424520476</v>
      </c>
      <c r="N56" s="34">
        <f t="shared" si="14"/>
        <v>1897.4917930290558</v>
      </c>
      <c r="O56" s="34">
        <f t="shared" si="14"/>
        <v>1903.2018436060634</v>
      </c>
      <c r="P56" s="34">
        <f t="shared" si="14"/>
        <v>1908.9118941830716</v>
      </c>
      <c r="Q56" s="34">
        <f t="shared" si="14"/>
        <v>1914.6219447600795</v>
      </c>
      <c r="R56" s="34">
        <f t="shared" si="14"/>
        <v>1920.3319953370874</v>
      </c>
      <c r="S56" s="34">
        <f t="shared" si="15"/>
        <v>1926.0420459140953</v>
      </c>
      <c r="T56" s="34">
        <f t="shared" si="15"/>
        <v>1931.7520964911034</v>
      </c>
      <c r="U56" s="34">
        <f t="shared" si="15"/>
        <v>1937.6371275374609</v>
      </c>
      <c r="V56" s="34">
        <f t="shared" si="15"/>
        <v>1943.5221585838185</v>
      </c>
      <c r="W56" s="34">
        <f t="shared" si="15"/>
        <v>1949.4071896301762</v>
      </c>
      <c r="X56" s="34">
        <f t="shared" si="15"/>
        <v>1955.292220676534</v>
      </c>
      <c r="Y56" s="34">
        <f t="shared" si="15"/>
        <v>1961.1772517228915</v>
      </c>
      <c r="Z56" s="34">
        <f t="shared" si="15"/>
        <v>1967.0622827692494</v>
      </c>
    </row>
    <row r="57" spans="1:26">
      <c r="A57" s="130">
        <f>H49+L49+N49+O49</f>
        <v>0.49961528735726657</v>
      </c>
      <c r="B57" t="s">
        <v>221</v>
      </c>
      <c r="C57" s="34">
        <f t="shared" si="16"/>
        <v>6777.508153574463</v>
      </c>
      <c r="D57" s="34">
        <f t="shared" si="14"/>
        <v>6848.7771336781861</v>
      </c>
      <c r="E57" s="34">
        <f t="shared" si="14"/>
        <v>6920.0461137819102</v>
      </c>
      <c r="F57" s="34">
        <f t="shared" si="14"/>
        <v>6991.3150938856325</v>
      </c>
      <c r="G57" s="34">
        <f t="shared" si="14"/>
        <v>7062.5840739893565</v>
      </c>
      <c r="H57" s="34">
        <f t="shared" si="14"/>
        <v>7133.8530540930806</v>
      </c>
      <c r="I57" s="34">
        <f t="shared" si="14"/>
        <v>7205.1220341968046</v>
      </c>
      <c r="J57" s="34">
        <f t="shared" si="14"/>
        <v>7276.3910143005287</v>
      </c>
      <c r="K57" s="34">
        <f t="shared" si="14"/>
        <v>7298.5543650348163</v>
      </c>
      <c r="L57" s="34">
        <f t="shared" si="14"/>
        <v>7320.7177157691049</v>
      </c>
      <c r="M57" s="34">
        <f t="shared" si="14"/>
        <v>7342.8810665033934</v>
      </c>
      <c r="N57" s="34">
        <f t="shared" si="14"/>
        <v>7365.0444172376829</v>
      </c>
      <c r="O57" s="34">
        <f t="shared" si="14"/>
        <v>7387.2077679719705</v>
      </c>
      <c r="P57" s="34">
        <f t="shared" si="14"/>
        <v>7409.3711187062599</v>
      </c>
      <c r="Q57" s="34">
        <f t="shared" si="14"/>
        <v>7431.5344694405485</v>
      </c>
      <c r="R57" s="34">
        <f t="shared" si="14"/>
        <v>7453.697820174837</v>
      </c>
      <c r="S57" s="34">
        <f t="shared" si="15"/>
        <v>7475.8611709091256</v>
      </c>
      <c r="T57" s="34">
        <f t="shared" si="15"/>
        <v>7498.024521643415</v>
      </c>
      <c r="U57" s="34">
        <f t="shared" si="15"/>
        <v>7520.8670526163969</v>
      </c>
      <c r="V57" s="34">
        <f t="shared" si="15"/>
        <v>7543.7095835893797</v>
      </c>
      <c r="W57" s="34">
        <f t="shared" si="15"/>
        <v>7566.5521145623625</v>
      </c>
      <c r="X57" s="34">
        <f t="shared" si="15"/>
        <v>7589.3946455353462</v>
      </c>
      <c r="Y57" s="34">
        <f t="shared" si="15"/>
        <v>7612.237176508328</v>
      </c>
      <c r="Z57" s="34">
        <f t="shared" si="15"/>
        <v>7635.0797074813108</v>
      </c>
    </row>
    <row r="58" spans="1:26">
      <c r="A58" s="130">
        <f>P49+Q49+D49</f>
        <v>1.1726177445841349E-2</v>
      </c>
      <c r="B58" s="26" t="s">
        <v>226</v>
      </c>
      <c r="C58" s="34">
        <f t="shared" si="16"/>
        <v>159.07091968669084</v>
      </c>
      <c r="D58" s="34">
        <f t="shared" si="14"/>
        <v>160.74363212809936</v>
      </c>
      <c r="E58" s="34">
        <f t="shared" si="14"/>
        <v>162.41634456950791</v>
      </c>
      <c r="F58" s="34">
        <f t="shared" si="14"/>
        <v>164.08905701091641</v>
      </c>
      <c r="G58" s="34">
        <f t="shared" si="14"/>
        <v>165.76176945232496</v>
      </c>
      <c r="H58" s="34">
        <f t="shared" si="14"/>
        <v>167.4344818937335</v>
      </c>
      <c r="I58" s="34">
        <f t="shared" si="14"/>
        <v>169.10719433514205</v>
      </c>
      <c r="J58" s="34">
        <f t="shared" si="14"/>
        <v>170.77990677655058</v>
      </c>
      <c r="K58" s="34">
        <f t="shared" si="14"/>
        <v>171.30008978552013</v>
      </c>
      <c r="L58" s="34">
        <f t="shared" si="14"/>
        <v>171.82027279448965</v>
      </c>
      <c r="M58" s="34">
        <f t="shared" si="14"/>
        <v>172.34045580345921</v>
      </c>
      <c r="N58" s="34">
        <f t="shared" si="14"/>
        <v>172.86063881242876</v>
      </c>
      <c r="O58" s="34">
        <f t="shared" si="14"/>
        <v>173.38082182139829</v>
      </c>
      <c r="P58" s="34">
        <f t="shared" si="14"/>
        <v>173.90100483036784</v>
      </c>
      <c r="Q58" s="34">
        <f t="shared" si="14"/>
        <v>174.42118783933739</v>
      </c>
      <c r="R58" s="34">
        <f t="shared" si="14"/>
        <v>174.94137084830692</v>
      </c>
      <c r="S58" s="34">
        <f t="shared" si="15"/>
        <v>175.46155385727647</v>
      </c>
      <c r="T58" s="34">
        <f t="shared" si="15"/>
        <v>175.98173686624602</v>
      </c>
      <c r="U58" s="34">
        <f t="shared" si="15"/>
        <v>176.51786051634119</v>
      </c>
      <c r="V58" s="34">
        <f t="shared" si="15"/>
        <v>177.05398416643635</v>
      </c>
      <c r="W58" s="34">
        <f t="shared" si="15"/>
        <v>177.59010781653151</v>
      </c>
      <c r="X58" s="34">
        <f t="shared" si="15"/>
        <v>178.12623146662671</v>
      </c>
      <c r="Y58" s="34">
        <f t="shared" si="15"/>
        <v>178.66235511672184</v>
      </c>
      <c r="Z58" s="34">
        <f t="shared" si="15"/>
        <v>179.19847876681703</v>
      </c>
    </row>
    <row r="59" spans="1:26">
      <c r="A59" s="130">
        <f>SUM(A53:A58)</f>
        <v>1.0000000000000053</v>
      </c>
      <c r="B59" s="53"/>
      <c r="C59" s="34">
        <f>C$44*$A59</f>
        <v>13565.45391039642</v>
      </c>
      <c r="D59" s="34">
        <f>D$44*$A59</f>
        <v>13708.101627364216</v>
      </c>
      <c r="E59" s="34">
        <f t="shared" ref="E59:Z59" si="17">E$44*$A59</f>
        <v>13850.749344332013</v>
      </c>
      <c r="F59" s="34">
        <f t="shared" si="17"/>
        <v>13993.397061299807</v>
      </c>
      <c r="G59" s="34">
        <f t="shared" si="17"/>
        <v>14136.044778267604</v>
      </c>
      <c r="H59" s="34">
        <f t="shared" si="17"/>
        <v>14278.692495235402</v>
      </c>
      <c r="I59" s="34">
        <f t="shared" si="17"/>
        <v>14421.340212203198</v>
      </c>
      <c r="J59" s="34">
        <f t="shared" si="17"/>
        <v>14563.987929170995</v>
      </c>
      <c r="K59" s="34">
        <f t="shared" si="17"/>
        <v>14608.348762986794</v>
      </c>
      <c r="L59" s="34">
        <f t="shared" si="17"/>
        <v>14652.709596802593</v>
      </c>
      <c r="M59" s="34">
        <f t="shared" si="17"/>
        <v>14697.070430618392</v>
      </c>
      <c r="N59" s="34">
        <f t="shared" si="17"/>
        <v>14741.431264434194</v>
      </c>
      <c r="O59" s="34">
        <f t="shared" si="17"/>
        <v>14785.792098249991</v>
      </c>
      <c r="P59" s="34">
        <f t="shared" si="17"/>
        <v>14830.152932065792</v>
      </c>
      <c r="Q59" s="34">
        <f t="shared" si="17"/>
        <v>14874.513765881591</v>
      </c>
      <c r="R59" s="34">
        <f t="shared" si="17"/>
        <v>14918.87459969739</v>
      </c>
      <c r="S59" s="34">
        <f t="shared" si="17"/>
        <v>14963.235433513189</v>
      </c>
      <c r="T59" s="34">
        <f t="shared" si="17"/>
        <v>15007.596267328991</v>
      </c>
      <c r="U59" s="34">
        <f t="shared" si="17"/>
        <v>15053.316507583864</v>
      </c>
      <c r="V59" s="34">
        <f t="shared" si="17"/>
        <v>15099.03674783874</v>
      </c>
      <c r="W59" s="34">
        <f t="shared" si="17"/>
        <v>15144.756988093615</v>
      </c>
      <c r="X59" s="34">
        <f t="shared" si="17"/>
        <v>15190.477228348493</v>
      </c>
      <c r="Y59" s="34">
        <f t="shared" si="17"/>
        <v>15236.197468603366</v>
      </c>
      <c r="Z59" s="34">
        <f t="shared" si="17"/>
        <v>15281.917708858242</v>
      </c>
    </row>
    <row r="61" spans="1:26">
      <c r="A61" s="26" t="s">
        <v>392</v>
      </c>
      <c r="G61"/>
      <c r="I61"/>
    </row>
    <row r="62" spans="1:26">
      <c r="B62" s="26" t="s">
        <v>566</v>
      </c>
      <c r="G62"/>
      <c r="I62"/>
    </row>
    <row r="63" spans="1:26">
      <c r="B63" s="231">
        <v>0.8</v>
      </c>
      <c r="C63">
        <f>B63*C44</f>
        <v>10852.363128317078</v>
      </c>
      <c r="G63"/>
      <c r="I63"/>
    </row>
    <row r="64" spans="1:26">
      <c r="A64" s="5" t="s">
        <v>351</v>
      </c>
      <c r="G64"/>
      <c r="I64"/>
    </row>
    <row r="65" spans="1:26">
      <c r="A65" s="26" t="s">
        <v>350</v>
      </c>
      <c r="B65" s="26" t="s">
        <v>395</v>
      </c>
      <c r="G65"/>
      <c r="I65"/>
    </row>
    <row r="66" spans="1:26">
      <c r="B66" s="230">
        <v>300</v>
      </c>
      <c r="C66" s="327">
        <f>$B$63*C53*$B$66</f>
        <v>742969.45331129769</v>
      </c>
      <c r="D66" s="327">
        <f t="shared" ref="D66:Z66" si="18">$B$63*D53*$B$66</f>
        <v>750782.15880509955</v>
      </c>
      <c r="E66" s="327">
        <f t="shared" si="18"/>
        <v>758594.86429890129</v>
      </c>
      <c r="F66" s="327">
        <f t="shared" si="18"/>
        <v>766407.56979270279</v>
      </c>
      <c r="G66" s="327">
        <f t="shared" si="18"/>
        <v>774220.27528650477</v>
      </c>
      <c r="H66" s="327">
        <f t="shared" si="18"/>
        <v>782032.98078030651</v>
      </c>
      <c r="I66" s="327">
        <f t="shared" si="18"/>
        <v>789845.68627410836</v>
      </c>
      <c r="J66" s="327">
        <f t="shared" si="18"/>
        <v>797658.39176790998</v>
      </c>
      <c r="K66" s="327">
        <f t="shared" si="18"/>
        <v>800088.00043904327</v>
      </c>
      <c r="L66" s="327">
        <f t="shared" si="18"/>
        <v>802517.60911017656</v>
      </c>
      <c r="M66" s="327">
        <f t="shared" si="18"/>
        <v>804947.21778130974</v>
      </c>
      <c r="N66" s="327">
        <f t="shared" si="18"/>
        <v>807376.82645244314</v>
      </c>
      <c r="O66" s="327">
        <f t="shared" si="18"/>
        <v>809806.43512357632</v>
      </c>
      <c r="P66" s="327">
        <f t="shared" si="18"/>
        <v>812236.04379470961</v>
      </c>
      <c r="Q66" s="327">
        <f t="shared" si="18"/>
        <v>814665.6524658429</v>
      </c>
      <c r="R66" s="327">
        <f t="shared" si="18"/>
        <v>817095.26113697619</v>
      </c>
      <c r="S66" s="327">
        <f t="shared" si="18"/>
        <v>819524.86980810936</v>
      </c>
      <c r="T66" s="327">
        <f t="shared" si="18"/>
        <v>821954.47847924277</v>
      </c>
      <c r="U66" s="327">
        <f t="shared" si="18"/>
        <v>824458.54079310247</v>
      </c>
      <c r="V66" s="327">
        <f t="shared" si="18"/>
        <v>826962.60310696228</v>
      </c>
      <c r="W66" s="327">
        <f t="shared" si="18"/>
        <v>829466.66542082222</v>
      </c>
      <c r="X66" s="327">
        <f t="shared" si="18"/>
        <v>831970.72773468203</v>
      </c>
      <c r="Y66" s="327">
        <f t="shared" si="18"/>
        <v>834474.79004854185</v>
      </c>
      <c r="Z66" s="327">
        <f t="shared" si="18"/>
        <v>836978.85236240155</v>
      </c>
    </row>
    <row r="67" spans="1:26">
      <c r="A67" s="26" t="s">
        <v>396</v>
      </c>
      <c r="G67"/>
      <c r="I67"/>
    </row>
    <row r="68" spans="1:26">
      <c r="A68" s="229">
        <v>0.04</v>
      </c>
      <c r="B68" s="54" t="s">
        <v>409</v>
      </c>
      <c r="D68" s="189">
        <f>D66*$A$68</f>
        <v>30031.286352203984</v>
      </c>
      <c r="E68" s="189">
        <f>E66*$A$68</f>
        <v>30343.794571956052</v>
      </c>
      <c r="F68" s="189">
        <f t="shared" ref="F68:Z68" si="19">F66*$A$68</f>
        <v>30656.302791708113</v>
      </c>
      <c r="G68" s="189">
        <f t="shared" si="19"/>
        <v>30968.811011460191</v>
      </c>
      <c r="H68" s="189">
        <f t="shared" si="19"/>
        <v>31281.319231212259</v>
      </c>
      <c r="I68" s="189">
        <f t="shared" si="19"/>
        <v>31593.827450964334</v>
      </c>
      <c r="J68" s="189">
        <f t="shared" si="19"/>
        <v>31906.335670716398</v>
      </c>
      <c r="K68" s="189">
        <f t="shared" si="19"/>
        <v>32003.520017561732</v>
      </c>
      <c r="L68" s="189">
        <f t="shared" si="19"/>
        <v>32100.704364407062</v>
      </c>
      <c r="M68" s="189">
        <f t="shared" si="19"/>
        <v>32197.888711252392</v>
      </c>
      <c r="N68" s="189">
        <f t="shared" si="19"/>
        <v>32295.073058097725</v>
      </c>
      <c r="O68" s="189">
        <f t="shared" si="19"/>
        <v>32392.257404943055</v>
      </c>
      <c r="P68" s="189">
        <f t="shared" si="19"/>
        <v>32489.441751788385</v>
      </c>
      <c r="Q68" s="189">
        <f t="shared" si="19"/>
        <v>32586.626098633718</v>
      </c>
      <c r="R68" s="189">
        <f t="shared" si="19"/>
        <v>32683.810445479048</v>
      </c>
      <c r="S68" s="189">
        <f t="shared" si="19"/>
        <v>32780.994792324374</v>
      </c>
      <c r="T68" s="189">
        <f t="shared" si="19"/>
        <v>32878.179139169712</v>
      </c>
      <c r="U68" s="189">
        <f t="shared" si="19"/>
        <v>32978.341631724099</v>
      </c>
      <c r="V68" s="189">
        <f t="shared" si="19"/>
        <v>33078.504124278494</v>
      </c>
      <c r="W68" s="189">
        <f t="shared" si="19"/>
        <v>33178.666616832888</v>
      </c>
      <c r="X68" s="189">
        <f t="shared" si="19"/>
        <v>33278.829109387283</v>
      </c>
      <c r="Y68" s="189">
        <f t="shared" si="19"/>
        <v>33378.991601941678</v>
      </c>
      <c r="Z68" s="189">
        <f t="shared" si="19"/>
        <v>33479.154094496065</v>
      </c>
    </row>
    <row r="69" spans="1:26">
      <c r="A69" s="229">
        <v>0.03</v>
      </c>
      <c r="B69" s="78" t="s">
        <v>402</v>
      </c>
      <c r="D69" s="189">
        <f>D66*$A$69</f>
        <v>22523.464764152985</v>
      </c>
      <c r="E69" s="189">
        <f>E66*$A$69</f>
        <v>22757.845928967039</v>
      </c>
      <c r="F69" s="189">
        <f t="shared" ref="F69:Z69" si="20">F66*$A$69</f>
        <v>22992.227093781083</v>
      </c>
      <c r="G69" s="189">
        <f t="shared" si="20"/>
        <v>23226.608258595141</v>
      </c>
      <c r="H69" s="189">
        <f t="shared" si="20"/>
        <v>23460.989423409195</v>
      </c>
      <c r="I69" s="189">
        <f t="shared" si="20"/>
        <v>23695.37058822325</v>
      </c>
      <c r="J69" s="189">
        <f t="shared" si="20"/>
        <v>23929.751753037297</v>
      </c>
      <c r="K69" s="189">
        <f t="shared" si="20"/>
        <v>24002.640013171298</v>
      </c>
      <c r="L69" s="189">
        <f t="shared" si="20"/>
        <v>24075.528273305295</v>
      </c>
      <c r="M69" s="189">
        <f t="shared" si="20"/>
        <v>24148.416533439293</v>
      </c>
      <c r="N69" s="189">
        <f t="shared" si="20"/>
        <v>24221.304793573294</v>
      </c>
      <c r="O69" s="189">
        <f t="shared" si="20"/>
        <v>24294.193053707288</v>
      </c>
      <c r="P69" s="189">
        <f t="shared" si="20"/>
        <v>24367.081313841289</v>
      </c>
      <c r="Q69" s="189">
        <f t="shared" si="20"/>
        <v>24439.969573975286</v>
      </c>
      <c r="R69" s="189">
        <f t="shared" si="20"/>
        <v>24512.857834109283</v>
      </c>
      <c r="S69" s="189">
        <f t="shared" si="20"/>
        <v>24585.746094243281</v>
      </c>
      <c r="T69" s="189">
        <f t="shared" si="20"/>
        <v>24658.634354377282</v>
      </c>
      <c r="U69" s="189">
        <f t="shared" si="20"/>
        <v>24733.756223793072</v>
      </c>
      <c r="V69" s="189">
        <f t="shared" si="20"/>
        <v>24808.878093208867</v>
      </c>
      <c r="W69" s="189">
        <f t="shared" si="20"/>
        <v>24883.999962624664</v>
      </c>
      <c r="X69" s="189">
        <f t="shared" si="20"/>
        <v>24959.121832040459</v>
      </c>
      <c r="Y69" s="189">
        <f t="shared" si="20"/>
        <v>25034.243701456253</v>
      </c>
      <c r="Z69" s="189">
        <f t="shared" si="20"/>
        <v>25109.365570872047</v>
      </c>
    </row>
    <row r="70" spans="1:26">
      <c r="A70" s="70"/>
      <c r="B70" s="26"/>
      <c r="G70"/>
      <c r="I70"/>
    </row>
    <row r="71" spans="1:26">
      <c r="A71" s="5" t="s">
        <v>261</v>
      </c>
      <c r="C71" s="441">
        <v>0.1368</v>
      </c>
      <c r="G71"/>
      <c r="I71"/>
    </row>
    <row r="72" spans="1:26">
      <c r="A72" s="5"/>
      <c r="C72" s="442">
        <v>17</v>
      </c>
      <c r="D72">
        <f>C72*(1+$C$71)</f>
        <v>19.325600000000001</v>
      </c>
      <c r="E72">
        <f t="shared" ref="E72:Z72" si="21">D72*(1+$C$71)</f>
        <v>21.969342080000001</v>
      </c>
      <c r="F72">
        <f t="shared" si="21"/>
        <v>24.974748076544003</v>
      </c>
      <c r="G72">
        <f t="shared" si="21"/>
        <v>28.391293613415222</v>
      </c>
      <c r="H72">
        <f t="shared" si="21"/>
        <v>32.275222579730425</v>
      </c>
      <c r="I72">
        <f t="shared" si="21"/>
        <v>36.690473028637548</v>
      </c>
      <c r="J72">
        <f t="shared" si="21"/>
        <v>41.709729738955168</v>
      </c>
      <c r="K72">
        <f t="shared" si="21"/>
        <v>47.415620767244235</v>
      </c>
      <c r="L72">
        <f t="shared" si="21"/>
        <v>53.902077688203249</v>
      </c>
      <c r="M72">
        <f t="shared" si="21"/>
        <v>61.275881915949455</v>
      </c>
      <c r="N72">
        <f t="shared" si="21"/>
        <v>69.658422562051342</v>
      </c>
      <c r="O72">
        <f t="shared" si="21"/>
        <v>79.18769476853997</v>
      </c>
      <c r="P72">
        <f t="shared" si="21"/>
        <v>90.020571412876237</v>
      </c>
      <c r="Q72">
        <f t="shared" si="21"/>
        <v>102.33538558215771</v>
      </c>
      <c r="R72">
        <f t="shared" si="21"/>
        <v>116.3348663297969</v>
      </c>
      <c r="S72">
        <f t="shared" si="21"/>
        <v>132.24947604371312</v>
      </c>
      <c r="T72">
        <f t="shared" si="21"/>
        <v>150.34120436649309</v>
      </c>
      <c r="U72">
        <f t="shared" si="21"/>
        <v>170.90788112382936</v>
      </c>
      <c r="V72">
        <f t="shared" si="21"/>
        <v>194.28807926156921</v>
      </c>
      <c r="W72">
        <f t="shared" si="21"/>
        <v>220.86668850455189</v>
      </c>
      <c r="X72">
        <f t="shared" si="21"/>
        <v>251.0812514919746</v>
      </c>
      <c r="Y72">
        <f t="shared" si="21"/>
        <v>285.42916669607672</v>
      </c>
      <c r="Z72">
        <f t="shared" si="21"/>
        <v>324.4758767001</v>
      </c>
    </row>
    <row r="73" spans="1:26">
      <c r="A73" s="5"/>
      <c r="G73"/>
      <c r="I73"/>
    </row>
    <row r="74" spans="1:26">
      <c r="A74" s="70" t="s">
        <v>350</v>
      </c>
      <c r="B74" s="26" t="s">
        <v>395</v>
      </c>
      <c r="C74" s="189"/>
      <c r="D74" s="189"/>
      <c r="E74" s="189"/>
      <c r="F74" s="189"/>
      <c r="G74" s="189"/>
      <c r="H74" s="189"/>
      <c r="I74" s="189"/>
      <c r="J74" s="189"/>
      <c r="K74" s="189"/>
      <c r="L74" s="189"/>
      <c r="M74" s="189"/>
      <c r="N74" s="189"/>
      <c r="O74" s="189"/>
      <c r="P74" s="189"/>
      <c r="Q74" s="189"/>
      <c r="R74" s="189"/>
      <c r="S74" s="189"/>
      <c r="T74" s="189"/>
      <c r="U74" s="189"/>
      <c r="V74" s="189"/>
      <c r="W74" s="189"/>
      <c r="X74" s="189"/>
      <c r="Y74" s="189"/>
      <c r="Z74" s="189"/>
    </row>
    <row r="75" spans="1:26">
      <c r="A75" s="70"/>
      <c r="B75" s="230">
        <v>300</v>
      </c>
      <c r="C75" s="327">
        <f>$B75*$B63*C72</f>
        <v>4080</v>
      </c>
      <c r="D75" s="327">
        <f t="shared" ref="D75:Z75" si="22">$B75*$B63*D72</f>
        <v>4638.1440000000002</v>
      </c>
      <c r="E75" s="327">
        <f t="shared" si="22"/>
        <v>5272.6420992000003</v>
      </c>
      <c r="F75" s="327">
        <f t="shared" si="22"/>
        <v>5993.9395383705605</v>
      </c>
      <c r="G75" s="327">
        <f t="shared" si="22"/>
        <v>6813.9104672196536</v>
      </c>
      <c r="H75" s="327">
        <f t="shared" si="22"/>
        <v>7746.0534191353017</v>
      </c>
      <c r="I75" s="327">
        <f t="shared" si="22"/>
        <v>8805.7135268730108</v>
      </c>
      <c r="J75" s="327">
        <f t="shared" si="22"/>
        <v>10010.335137349241</v>
      </c>
      <c r="K75" s="327">
        <f t="shared" si="22"/>
        <v>11379.748984138616</v>
      </c>
      <c r="L75" s="327">
        <f t="shared" si="22"/>
        <v>12936.49864516878</v>
      </c>
      <c r="M75" s="327">
        <f t="shared" si="22"/>
        <v>14706.21165982787</v>
      </c>
      <c r="N75" s="327">
        <f t="shared" si="22"/>
        <v>16718.021414892322</v>
      </c>
      <c r="O75" s="327">
        <f t="shared" si="22"/>
        <v>19005.046744449592</v>
      </c>
      <c r="P75" s="327">
        <f t="shared" si="22"/>
        <v>21604.937139090296</v>
      </c>
      <c r="Q75" s="327">
        <f t="shared" si="22"/>
        <v>24560.492539717852</v>
      </c>
      <c r="R75" s="327">
        <f t="shared" si="22"/>
        <v>27920.367919151257</v>
      </c>
      <c r="S75" s="327">
        <f t="shared" si="22"/>
        <v>31739.87425049115</v>
      </c>
      <c r="T75" s="327">
        <f t="shared" si="22"/>
        <v>36081.889047958342</v>
      </c>
      <c r="U75" s="327">
        <f t="shared" si="22"/>
        <v>41017.891469719048</v>
      </c>
      <c r="V75" s="327">
        <f t="shared" si="22"/>
        <v>46629.13902277661</v>
      </c>
      <c r="W75" s="327">
        <f t="shared" si="22"/>
        <v>53008.005241092455</v>
      </c>
      <c r="X75" s="327">
        <f t="shared" si="22"/>
        <v>60259.500358073907</v>
      </c>
      <c r="Y75" s="327">
        <f t="shared" si="22"/>
        <v>68503.000007058406</v>
      </c>
      <c r="Z75" s="327">
        <f t="shared" si="22"/>
        <v>77874.210408023995</v>
      </c>
    </row>
    <row r="76" spans="1:26">
      <c r="A76" s="70"/>
      <c r="B76" s="230"/>
      <c r="C76" s="327"/>
      <c r="D76" s="327"/>
      <c r="E76" s="327"/>
      <c r="F76" s="327"/>
      <c r="G76" s="327"/>
      <c r="H76" s="327"/>
      <c r="I76" s="327"/>
      <c r="J76" s="327"/>
      <c r="K76" s="327"/>
      <c r="L76" s="327"/>
      <c r="M76" s="327"/>
      <c r="N76" s="327"/>
      <c r="O76" s="327"/>
      <c r="P76" s="327"/>
      <c r="Q76" s="327"/>
      <c r="R76" s="327"/>
      <c r="S76" s="327"/>
      <c r="T76" s="327"/>
      <c r="U76" s="327"/>
      <c r="V76" s="327"/>
      <c r="W76" s="327"/>
      <c r="X76" s="327"/>
      <c r="Y76" s="327"/>
      <c r="Z76" s="327"/>
    </row>
    <row r="77" spans="1:26">
      <c r="A77" s="229">
        <v>0.04</v>
      </c>
      <c r="B77" s="54" t="s">
        <v>417</v>
      </c>
      <c r="D77" s="189">
        <f>D75*$A$77</f>
        <v>185.52576000000002</v>
      </c>
      <c r="E77" s="189">
        <f>E75*$A$77</f>
        <v>210.90568396800001</v>
      </c>
      <c r="F77" s="189">
        <f t="shared" ref="F77:Z77" si="23">F75*$A$77</f>
        <v>239.75758153482244</v>
      </c>
      <c r="G77" s="189">
        <f t="shared" si="23"/>
        <v>272.55641868878615</v>
      </c>
      <c r="H77" s="189">
        <f t="shared" si="23"/>
        <v>309.84213676541208</v>
      </c>
      <c r="I77" s="189">
        <f t="shared" si="23"/>
        <v>352.22854107492043</v>
      </c>
      <c r="J77" s="189">
        <f t="shared" si="23"/>
        <v>400.41340549396961</v>
      </c>
      <c r="K77" s="189">
        <f t="shared" si="23"/>
        <v>455.18995936554467</v>
      </c>
      <c r="L77" s="189">
        <f t="shared" si="23"/>
        <v>517.45994580675119</v>
      </c>
      <c r="M77" s="189">
        <f t="shared" si="23"/>
        <v>588.24846639311477</v>
      </c>
      <c r="N77" s="189">
        <f t="shared" si="23"/>
        <v>668.72085659569291</v>
      </c>
      <c r="O77" s="189">
        <f t="shared" si="23"/>
        <v>760.20186977798369</v>
      </c>
      <c r="P77" s="189">
        <f t="shared" si="23"/>
        <v>864.19748556361185</v>
      </c>
      <c r="Q77" s="189">
        <f t="shared" si="23"/>
        <v>982.41970158871413</v>
      </c>
      <c r="R77" s="189">
        <f t="shared" si="23"/>
        <v>1116.8147167660502</v>
      </c>
      <c r="S77" s="189">
        <f t="shared" si="23"/>
        <v>1269.5949700196461</v>
      </c>
      <c r="T77" s="189">
        <f t="shared" si="23"/>
        <v>1443.2755619183338</v>
      </c>
      <c r="U77" s="189">
        <f t="shared" si="23"/>
        <v>1640.7156587887621</v>
      </c>
      <c r="V77" s="189">
        <f t="shared" si="23"/>
        <v>1865.1655609110644</v>
      </c>
      <c r="W77" s="189">
        <f t="shared" si="23"/>
        <v>2120.320209643698</v>
      </c>
      <c r="X77" s="189">
        <f t="shared" si="23"/>
        <v>2410.3800143229564</v>
      </c>
      <c r="Y77" s="189">
        <f t="shared" si="23"/>
        <v>2740.1200002823362</v>
      </c>
      <c r="Z77" s="189">
        <f t="shared" si="23"/>
        <v>3114.9684163209599</v>
      </c>
    </row>
    <row r="78" spans="1:26">
      <c r="A78" s="229">
        <v>0.03</v>
      </c>
      <c r="B78" s="78" t="s">
        <v>411</v>
      </c>
      <c r="D78" s="189">
        <f>D75*$A$78</f>
        <v>139.14431999999999</v>
      </c>
      <c r="E78" s="189">
        <f>E75*$A$78</f>
        <v>158.17926297599999</v>
      </c>
      <c r="F78" s="189">
        <f t="shared" ref="F78:Z78" si="24">F75*$A$78</f>
        <v>179.81818615111681</v>
      </c>
      <c r="G78" s="189">
        <f t="shared" si="24"/>
        <v>204.41731401658959</v>
      </c>
      <c r="H78" s="189">
        <f t="shared" si="24"/>
        <v>232.38160257405903</v>
      </c>
      <c r="I78" s="189">
        <f t="shared" si="24"/>
        <v>264.17140580619031</v>
      </c>
      <c r="J78" s="189">
        <f t="shared" si="24"/>
        <v>300.31005412047722</v>
      </c>
      <c r="K78" s="189">
        <f t="shared" si="24"/>
        <v>341.39246952415846</v>
      </c>
      <c r="L78" s="189">
        <f t="shared" si="24"/>
        <v>388.09495935506339</v>
      </c>
      <c r="M78" s="189">
        <f t="shared" si="24"/>
        <v>441.18634979483608</v>
      </c>
      <c r="N78" s="189">
        <f t="shared" si="24"/>
        <v>501.54064244676965</v>
      </c>
      <c r="O78" s="189">
        <f t="shared" si="24"/>
        <v>570.15140233348768</v>
      </c>
      <c r="P78" s="189">
        <f t="shared" si="24"/>
        <v>648.14811417270892</v>
      </c>
      <c r="Q78" s="189">
        <f t="shared" si="24"/>
        <v>736.81477619153554</v>
      </c>
      <c r="R78" s="189">
        <f t="shared" si="24"/>
        <v>837.6110375745377</v>
      </c>
      <c r="S78" s="189">
        <f t="shared" si="24"/>
        <v>952.19622751473446</v>
      </c>
      <c r="T78" s="189">
        <f t="shared" si="24"/>
        <v>1082.4566714387502</v>
      </c>
      <c r="U78" s="189">
        <f t="shared" si="24"/>
        <v>1230.5367440915713</v>
      </c>
      <c r="V78" s="189">
        <f t="shared" si="24"/>
        <v>1398.8741706832982</v>
      </c>
      <c r="W78" s="189">
        <f t="shared" si="24"/>
        <v>1590.2401572327735</v>
      </c>
      <c r="X78" s="189">
        <f t="shared" si="24"/>
        <v>1807.7850107422171</v>
      </c>
      <c r="Y78" s="189">
        <f t="shared" si="24"/>
        <v>2055.0900002117523</v>
      </c>
      <c r="Z78" s="189">
        <f t="shared" si="24"/>
        <v>2336.2263122407198</v>
      </c>
    </row>
    <row r="90" spans="1:10" ht="15.75">
      <c r="A90" s="555" t="s">
        <v>337</v>
      </c>
      <c r="B90" s="555"/>
      <c r="C90" s="555"/>
      <c r="D90" s="555"/>
      <c r="E90" s="555"/>
      <c r="F90" s="555"/>
    </row>
    <row r="91" spans="1:10" ht="15.75">
      <c r="A91" s="555" t="s">
        <v>338</v>
      </c>
      <c r="B91" s="555"/>
      <c r="C91" s="555"/>
      <c r="D91" s="555"/>
      <c r="E91" s="555"/>
      <c r="F91" s="555"/>
      <c r="G91" s="181" t="s">
        <v>339</v>
      </c>
      <c r="I91" s="181" t="s">
        <v>340</v>
      </c>
    </row>
    <row r="92" spans="1:10">
      <c r="G92" s="181" t="s">
        <v>342</v>
      </c>
      <c r="H92" s="181" t="s">
        <v>341</v>
      </c>
      <c r="J92" s="181" t="s">
        <v>341</v>
      </c>
    </row>
    <row r="93" spans="1:10" s="76" customFormat="1" ht="15">
      <c r="A93" s="186"/>
      <c r="B93" s="188"/>
      <c r="C93" s="188"/>
      <c r="D93" s="188"/>
      <c r="E93" s="188"/>
      <c r="F93" s="188"/>
      <c r="G93" s="188"/>
      <c r="H93" s="190">
        <v>6.2199999999999998E-3</v>
      </c>
      <c r="I93" s="188"/>
      <c r="J93" s="190">
        <v>2.1600000000000001E-2</v>
      </c>
    </row>
    <row r="94" spans="1:10" ht="15">
      <c r="A94" s="173" t="s">
        <v>327</v>
      </c>
      <c r="B94" s="167" t="s">
        <v>328</v>
      </c>
      <c r="C94" s="168" t="s">
        <v>329</v>
      </c>
      <c r="D94" s="169">
        <v>10333</v>
      </c>
      <c r="E94" s="167">
        <v>11625</v>
      </c>
      <c r="F94" s="168">
        <v>14395</v>
      </c>
      <c r="G94" s="74">
        <f>E94-D94</f>
        <v>1292</v>
      </c>
      <c r="H94" s="189">
        <f>D94*((1+H93)^19)</f>
        <v>11624.984689295301</v>
      </c>
      <c r="I94" s="74">
        <f>F94-E94</f>
        <v>2770</v>
      </c>
      <c r="J94" s="189">
        <f>E94*((1+J93)^10)</f>
        <v>14394.673017995265</v>
      </c>
    </row>
    <row r="95" spans="1:10" ht="15">
      <c r="A95" s="182"/>
      <c r="B95" s="183"/>
      <c r="C95" s="184"/>
      <c r="D95" s="185"/>
      <c r="E95" s="183"/>
      <c r="F95" s="184"/>
      <c r="H95" s="190">
        <v>8.7100000000000007E-3</v>
      </c>
      <c r="J95" s="190">
        <v>3.2660000000000002E-2</v>
      </c>
    </row>
    <row r="96" spans="1:10" ht="15.75" thickBot="1">
      <c r="A96" s="175"/>
      <c r="B96" s="176" t="s">
        <v>330</v>
      </c>
      <c r="C96" s="177" t="s">
        <v>331</v>
      </c>
      <c r="D96" s="178">
        <v>5431</v>
      </c>
      <c r="E96" s="176">
        <v>6404</v>
      </c>
      <c r="F96" s="177">
        <v>8831</v>
      </c>
      <c r="G96" s="74">
        <f>E96-D96</f>
        <v>973</v>
      </c>
      <c r="H96" s="189">
        <f>D96*((1+H95)^19)</f>
        <v>6403.8330674172666</v>
      </c>
      <c r="I96" s="74">
        <f>F96-E96</f>
        <v>2427</v>
      </c>
      <c r="J96" s="189">
        <f>E96*((1+J95)^10)</f>
        <v>8831.304780076649</v>
      </c>
    </row>
    <row r="97" spans="1:2" ht="13.5" thickTop="1"/>
    <row r="98" spans="1:2">
      <c r="B98" s="179"/>
    </row>
    <row r="99" spans="1:2">
      <c r="A99" t="s">
        <v>332</v>
      </c>
      <c r="B99" s="179"/>
    </row>
    <row r="100" spans="1:2">
      <c r="A100" t="s">
        <v>333</v>
      </c>
    </row>
    <row r="101" spans="1:2">
      <c r="A101" t="s">
        <v>334</v>
      </c>
    </row>
    <row r="102" spans="1:2">
      <c r="A102" t="s">
        <v>335</v>
      </c>
    </row>
  </sheetData>
  <mergeCells count="5">
    <mergeCell ref="A36:A37"/>
    <mergeCell ref="B36:E36"/>
    <mergeCell ref="F36:I36"/>
    <mergeCell ref="A90:F90"/>
    <mergeCell ref="A91:F91"/>
  </mergeCells>
  <pageMargins left="0.7" right="0.7" top="0.75" bottom="0.75" header="0.3" footer="0.3"/>
</worksheet>
</file>

<file path=xl/worksheets/sheet4.xml><?xml version="1.0" encoding="utf-8"?>
<worksheet xmlns="http://schemas.openxmlformats.org/spreadsheetml/2006/main" xmlns:r="http://schemas.openxmlformats.org/officeDocument/2006/relationships">
  <sheetPr>
    <pageSetUpPr fitToPage="1"/>
  </sheetPr>
  <dimension ref="A1:BK379"/>
  <sheetViews>
    <sheetView topLeftCell="A156" zoomScale="60" zoomScaleNormal="60" workbookViewId="0">
      <selection activeCell="A174" sqref="A174"/>
    </sheetView>
  </sheetViews>
  <sheetFormatPr defaultRowHeight="12.75"/>
  <cols>
    <col min="1" max="1" width="18.28515625" customWidth="1"/>
    <col min="2" max="2" width="23.140625" customWidth="1"/>
    <col min="3" max="3" width="52.140625" style="53" customWidth="1"/>
    <col min="4" max="4" width="14.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35" customWidth="1"/>
    <col min="33" max="33" width="14.28515625" customWidth="1"/>
    <col min="34" max="34" width="12.140625" bestFit="1" customWidth="1"/>
    <col min="35" max="35" width="11.140625" bestFit="1" customWidth="1"/>
  </cols>
  <sheetData>
    <row r="1" spans="1:33"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3"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334"/>
    </row>
    <row r="3" spans="1:33">
      <c r="A3" s="69"/>
      <c r="B3" s="69"/>
      <c r="D3" s="206"/>
      <c r="E3" s="215"/>
      <c r="AC3" s="261"/>
    </row>
    <row r="4" spans="1:33">
      <c r="A4" s="41"/>
      <c r="B4" s="41"/>
      <c r="C4" s="45"/>
      <c r="D4" s="207"/>
      <c r="E4" s="215"/>
      <c r="AC4" s="261"/>
    </row>
    <row r="5" spans="1:33">
      <c r="A5" s="44" t="s">
        <v>218</v>
      </c>
      <c r="B5" s="44"/>
      <c r="C5" s="55" t="s">
        <v>389</v>
      </c>
      <c r="D5" s="207"/>
      <c r="E5" s="215"/>
      <c r="F5" s="292"/>
      <c r="G5" s="292"/>
      <c r="H5" s="292"/>
      <c r="I5" s="292"/>
      <c r="J5" s="292">
        <f>-92400*0.25</f>
        <v>-23100</v>
      </c>
      <c r="K5" s="292">
        <v>-92400</v>
      </c>
      <c r="L5" s="292">
        <v>-92400</v>
      </c>
      <c r="M5" s="292">
        <v>-92400</v>
      </c>
      <c r="N5" s="292">
        <v>-92400</v>
      </c>
      <c r="O5" s="292">
        <v>-92400</v>
      </c>
      <c r="P5" s="292">
        <v>-92400</v>
      </c>
      <c r="Q5" s="292">
        <v>-92400</v>
      </c>
      <c r="R5" s="292">
        <v>-92400</v>
      </c>
      <c r="S5" s="292">
        <v>-92400</v>
      </c>
      <c r="T5" s="292">
        <v>-92400</v>
      </c>
      <c r="U5" s="292">
        <v>-92400</v>
      </c>
      <c r="V5" s="292">
        <v>-92400</v>
      </c>
      <c r="W5" s="292">
        <v>-92400</v>
      </c>
      <c r="X5" s="292">
        <v>-92400</v>
      </c>
      <c r="Y5" s="292">
        <v>-92400</v>
      </c>
      <c r="Z5" s="292">
        <v>-92400</v>
      </c>
      <c r="AA5" s="292">
        <v>-92400</v>
      </c>
      <c r="AB5" s="292">
        <v>-92400</v>
      </c>
      <c r="AC5" s="383">
        <v>-92400</v>
      </c>
      <c r="AD5" s="336">
        <f>SUM(F5:AC5)</f>
        <v>-1778700</v>
      </c>
    </row>
    <row r="6" spans="1:33">
      <c r="A6" s="44"/>
      <c r="B6" s="44"/>
      <c r="C6" s="55" t="s">
        <v>388</v>
      </c>
      <c r="D6" s="207"/>
      <c r="E6" s="215"/>
      <c r="F6" s="292">
        <v>-1035667</v>
      </c>
      <c r="G6" s="292">
        <v>-2319515</v>
      </c>
      <c r="H6" s="292">
        <v>-3517697</v>
      </c>
      <c r="I6" s="292">
        <v>-6888739</v>
      </c>
      <c r="J6" s="292">
        <v>-1793383</v>
      </c>
      <c r="K6" s="292"/>
      <c r="L6" s="292"/>
      <c r="M6" s="292"/>
      <c r="N6" s="292"/>
      <c r="O6" s="292"/>
      <c r="P6" s="292"/>
      <c r="Q6" s="292"/>
      <c r="R6" s="292"/>
      <c r="S6" s="292"/>
      <c r="T6" s="292"/>
      <c r="U6" s="292"/>
      <c r="V6" s="292"/>
      <c r="W6" s="292"/>
      <c r="X6" s="292"/>
      <c r="Y6" s="292"/>
      <c r="Z6" s="292"/>
      <c r="AA6" s="292"/>
      <c r="AB6" s="292"/>
      <c r="AC6" s="383"/>
      <c r="AD6" s="336">
        <f t="shared" ref="AD6:AD69" si="0">SUM(F6:AC6)</f>
        <v>-15555001</v>
      </c>
    </row>
    <row r="7" spans="1:33"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37"/>
    </row>
    <row r="8" spans="1:33" s="53" customFormat="1" ht="12">
      <c r="A8" s="58" t="s">
        <v>219</v>
      </c>
      <c r="B8" s="58"/>
      <c r="D8" s="209"/>
      <c r="E8" s="216"/>
      <c r="H8" s="59"/>
      <c r="I8" s="59"/>
      <c r="J8" s="59"/>
      <c r="K8" s="59"/>
      <c r="L8" s="59"/>
      <c r="M8" s="59"/>
      <c r="N8" s="59"/>
      <c r="O8" s="59"/>
      <c r="P8" s="59"/>
      <c r="Q8" s="59"/>
      <c r="R8" s="59"/>
      <c r="S8" s="59"/>
      <c r="T8" s="59"/>
      <c r="U8" s="59"/>
      <c r="V8" s="59"/>
      <c r="W8" s="59"/>
      <c r="X8" s="59"/>
      <c r="Y8" s="59"/>
      <c r="AC8" s="263"/>
      <c r="AD8" s="338"/>
    </row>
    <row r="9" spans="1:33" s="53" customFormat="1" ht="12">
      <c r="A9" s="58"/>
      <c r="B9" s="5" t="s">
        <v>351</v>
      </c>
      <c r="D9" s="209"/>
      <c r="E9" s="216"/>
      <c r="H9" s="59"/>
      <c r="AC9" s="263"/>
      <c r="AD9" s="338"/>
    </row>
    <row r="10" spans="1:33" s="53" customFormat="1" ht="12">
      <c r="A10" s="58"/>
      <c r="B10" s="70" t="s">
        <v>447</v>
      </c>
      <c r="C10" s="70" t="s">
        <v>350</v>
      </c>
      <c r="D10" s="209"/>
      <c r="E10" s="216"/>
      <c r="F10" s="59">
        <f>'FG Users'!C6</f>
        <v>0</v>
      </c>
      <c r="G10" s="59">
        <f>'FG Users'!D6</f>
        <v>0</v>
      </c>
      <c r="H10" s="59">
        <f>'FG Users'!E6</f>
        <v>0</v>
      </c>
      <c r="I10" s="59">
        <f>'FG Users'!F6</f>
        <v>0</v>
      </c>
      <c r="J10" s="59">
        <f>'FG Users'!G6</f>
        <v>198629.96110314463</v>
      </c>
      <c r="K10" s="59">
        <f>'FG Users'!H6</f>
        <v>273764.93517190771</v>
      </c>
      <c r="L10" s="59">
        <f>'FG Users'!I6</f>
        <v>282689.92220628931</v>
      </c>
      <c r="M10" s="59">
        <f>'FG Users'!J6</f>
        <v>8924.9870343815546</v>
      </c>
      <c r="N10" s="59">
        <f>'FG Users'!K6</f>
        <v>291833.39199677389</v>
      </c>
      <c r="O10" s="59">
        <f>'FG Users'!L6</f>
        <v>292051.87475287699</v>
      </c>
      <c r="P10" s="59">
        <f>'FG Users'!M6</f>
        <v>292270.35750898003</v>
      </c>
      <c r="Q10" s="59">
        <f>'FG Users'!N6</f>
        <v>292488.84026508307</v>
      </c>
      <c r="R10" s="59">
        <f>'FG Users'!O6</f>
        <v>292707.32302118611</v>
      </c>
      <c r="S10" s="59">
        <f>'FG Users'!P6</f>
        <v>292925.80577728921</v>
      </c>
      <c r="T10" s="59">
        <f>'FG Users'!Q6</f>
        <v>293144.28853339225</v>
      </c>
      <c r="U10" s="59">
        <f>'FG Users'!R6</f>
        <v>293362.77128949529</v>
      </c>
      <c r="V10" s="59">
        <f>'FG Users'!S6</f>
        <v>293581.25404559838</v>
      </c>
      <c r="W10" s="59">
        <f>'FG Users'!T6</f>
        <v>293799.73680170142</v>
      </c>
      <c r="X10" s="59">
        <f>'FG Users'!U6</f>
        <v>296221.16120505251</v>
      </c>
      <c r="Y10" s="59">
        <f>'FG Users'!V6</f>
        <v>296441.29069626622</v>
      </c>
      <c r="Z10" s="59">
        <f>'FG Users'!W6</f>
        <v>296661.42018747999</v>
      </c>
      <c r="AA10" s="59">
        <f>'FG Users'!X6</f>
        <v>296881.54967869364</v>
      </c>
      <c r="AB10" s="59">
        <f>'FG Users'!Y6</f>
        <v>297101.67916990735</v>
      </c>
      <c r="AC10" s="264">
        <f>'FG Users'!Z6</f>
        <v>297321.80866112112</v>
      </c>
      <c r="AD10" s="339">
        <f t="shared" si="0"/>
        <v>5472804.3591066208</v>
      </c>
    </row>
    <row r="11" spans="1:33" s="53" customFormat="1" ht="12">
      <c r="A11" s="58"/>
      <c r="B11" s="70" t="s">
        <v>446</v>
      </c>
      <c r="C11" s="54" t="s">
        <v>415</v>
      </c>
      <c r="D11" s="209"/>
      <c r="E11" s="216"/>
      <c r="F11" s="45"/>
      <c r="H11" s="59"/>
      <c r="I11" s="59">
        <f>'FG Users'!F7</f>
        <v>0</v>
      </c>
      <c r="J11" s="59">
        <f>'FG Users'!G7</f>
        <v>9931.4980551572316</v>
      </c>
      <c r="K11" s="59">
        <f>'FG Users'!H7</f>
        <v>13688.246758595385</v>
      </c>
      <c r="L11" s="59">
        <f>'FG Users'!I7</f>
        <v>14134.496110314467</v>
      </c>
      <c r="M11" s="59">
        <f>'FG Users'!J7</f>
        <v>446.24935171907777</v>
      </c>
      <c r="N11" s="59">
        <f>'FG Users'!K7</f>
        <v>14591.669599838695</v>
      </c>
      <c r="O11" s="59">
        <f>'FG Users'!L7</f>
        <v>14602.593737643851</v>
      </c>
      <c r="P11" s="59">
        <f>'FG Users'!M7</f>
        <v>14613.517875449003</v>
      </c>
      <c r="Q11" s="59">
        <f>'FG Users'!N7</f>
        <v>14624.442013254155</v>
      </c>
      <c r="R11" s="59">
        <f>'FG Users'!O7</f>
        <v>14635.366151059307</v>
      </c>
      <c r="S11" s="59">
        <f>'FG Users'!P7</f>
        <v>14646.29028886446</v>
      </c>
      <c r="T11" s="59">
        <f>'FG Users'!Q7</f>
        <v>14657.214426669612</v>
      </c>
      <c r="U11" s="59">
        <f>'FG Users'!R7</f>
        <v>14668.138564474764</v>
      </c>
      <c r="V11" s="59">
        <f>'FG Users'!S7</f>
        <v>14679.06270227992</v>
      </c>
      <c r="W11" s="59">
        <f>'FG Users'!T7</f>
        <v>14689.986840085072</v>
      </c>
      <c r="X11" s="59">
        <f>'FG Users'!U7</f>
        <v>14811.058060252626</v>
      </c>
      <c r="Y11" s="59">
        <f>'FG Users'!V7</f>
        <v>14822.064534813311</v>
      </c>
      <c r="Z11" s="59">
        <f>'FG Users'!W7</f>
        <v>14833.071009374</v>
      </c>
      <c r="AA11" s="59">
        <f>'FG Users'!X7</f>
        <v>14844.077483934683</v>
      </c>
      <c r="AB11" s="59">
        <f>'FG Users'!Y7</f>
        <v>14855.083958495368</v>
      </c>
      <c r="AC11" s="264">
        <f>'FG Users'!Z7</f>
        <v>14866.090433056057</v>
      </c>
      <c r="AD11" s="339">
        <f t="shared" si="0"/>
        <v>273640.21795533103</v>
      </c>
    </row>
    <row r="12" spans="1:33" s="53" customFormat="1" ht="12">
      <c r="A12" s="58"/>
      <c r="B12" s="70"/>
      <c r="C12" s="78" t="s">
        <v>402</v>
      </c>
      <c r="D12" s="209"/>
      <c r="E12" s="216"/>
      <c r="F12" s="45"/>
      <c r="H12" s="59"/>
      <c r="I12" s="59">
        <f>'FG Users'!F8</f>
        <v>0</v>
      </c>
      <c r="J12" s="59">
        <f>'FG Users'!G8</f>
        <v>9931.4980551572316</v>
      </c>
      <c r="K12" s="59">
        <f>'FG Users'!H8</f>
        <v>13688.246758595385</v>
      </c>
      <c r="L12" s="59">
        <f>'FG Users'!I8</f>
        <v>14134.496110314467</v>
      </c>
      <c r="M12" s="59">
        <f>'FG Users'!J8</f>
        <v>446.24935171907777</v>
      </c>
      <c r="N12" s="59">
        <f>'FG Users'!K8</f>
        <v>14591.669599838695</v>
      </c>
      <c r="O12" s="59">
        <f>'FG Users'!L8</f>
        <v>14602.593737643851</v>
      </c>
      <c r="P12" s="59">
        <f>'FG Users'!M8</f>
        <v>14613.517875449003</v>
      </c>
      <c r="Q12" s="59">
        <f>'FG Users'!N8</f>
        <v>14624.442013254155</v>
      </c>
      <c r="R12" s="59">
        <f>'FG Users'!O8</f>
        <v>14635.366151059307</v>
      </c>
      <c r="S12" s="59">
        <f>'FG Users'!P8</f>
        <v>14646.29028886446</v>
      </c>
      <c r="T12" s="59">
        <f>'FG Users'!Q8</f>
        <v>14657.214426669612</v>
      </c>
      <c r="U12" s="59">
        <f>'FG Users'!R8</f>
        <v>14668.138564474764</v>
      </c>
      <c r="V12" s="59">
        <f>'FG Users'!S8</f>
        <v>14679.06270227992</v>
      </c>
      <c r="W12" s="59">
        <f>'FG Users'!T8</f>
        <v>14689.986840085072</v>
      </c>
      <c r="X12" s="59">
        <f>'FG Users'!U8</f>
        <v>14811.058060252626</v>
      </c>
      <c r="Y12" s="59">
        <f>'FG Users'!V8</f>
        <v>14822.064534813311</v>
      </c>
      <c r="Z12" s="59">
        <f>'FG Users'!W8</f>
        <v>14833.071009374</v>
      </c>
      <c r="AA12" s="59">
        <f>'FG Users'!X8</f>
        <v>14844.077483934683</v>
      </c>
      <c r="AB12" s="59">
        <f>'FG Users'!Y8</f>
        <v>14855.083958495368</v>
      </c>
      <c r="AC12" s="264">
        <f>'FG Users'!Z8</f>
        <v>14866.090433056057</v>
      </c>
      <c r="AD12" s="339">
        <f t="shared" si="0"/>
        <v>273640.21795533103</v>
      </c>
    </row>
    <row r="13" spans="1:33" s="53" customFormat="1" ht="12">
      <c r="A13" s="58"/>
      <c r="B13" s="70"/>
      <c r="D13" s="209"/>
      <c r="E13" s="216"/>
      <c r="H13" s="59"/>
      <c r="I13" s="59"/>
      <c r="J13" s="59"/>
      <c r="K13" s="59"/>
      <c r="L13" s="59"/>
      <c r="M13" s="59"/>
      <c r="N13" s="59"/>
      <c r="O13" s="59"/>
      <c r="P13" s="59"/>
      <c r="Q13" s="59"/>
      <c r="R13" s="59"/>
      <c r="S13" s="59"/>
      <c r="T13" s="59"/>
      <c r="U13" s="59"/>
      <c r="V13" s="59"/>
      <c r="W13" s="59"/>
      <c r="X13" s="59"/>
      <c r="Y13" s="59"/>
      <c r="Z13" s="59"/>
      <c r="AA13" s="59"/>
      <c r="AB13" s="59"/>
      <c r="AC13" s="264"/>
      <c r="AD13" s="339"/>
    </row>
    <row r="14" spans="1:33" s="53" customFormat="1" ht="12">
      <c r="A14" s="58"/>
      <c r="B14" s="5" t="s">
        <v>261</v>
      </c>
      <c r="D14" s="209"/>
      <c r="E14" s="216"/>
      <c r="H14" s="59"/>
      <c r="I14" s="59"/>
      <c r="J14" s="59"/>
      <c r="K14" s="59"/>
      <c r="L14" s="59"/>
      <c r="M14" s="59"/>
      <c r="N14" s="59"/>
      <c r="O14" s="59"/>
      <c r="P14" s="59"/>
      <c r="Q14" s="59"/>
      <c r="R14" s="59"/>
      <c r="S14" s="59"/>
      <c r="T14" s="59"/>
      <c r="U14" s="59"/>
      <c r="V14" s="59"/>
      <c r="W14" s="59"/>
      <c r="X14" s="59"/>
      <c r="Y14" s="59"/>
      <c r="Z14" s="59"/>
      <c r="AA14" s="59"/>
      <c r="AB14" s="59"/>
      <c r="AC14" s="264"/>
      <c r="AD14" s="339"/>
    </row>
    <row r="15" spans="1:33" s="53" customFormat="1" ht="12">
      <c r="A15" s="58"/>
      <c r="B15" s="70" t="s">
        <v>447</v>
      </c>
      <c r="C15" s="70" t="s">
        <v>350</v>
      </c>
      <c r="D15" s="209"/>
      <c r="E15" s="216"/>
      <c r="F15" s="59">
        <f>'FG Users'!C12</f>
        <v>0</v>
      </c>
      <c r="G15" s="59">
        <f>'FG Users'!D12</f>
        <v>0</v>
      </c>
      <c r="H15" s="59">
        <f>'FG Users'!E12</f>
        <v>0</v>
      </c>
      <c r="I15" s="59">
        <f>'FG Users'!F12</f>
        <v>0</v>
      </c>
      <c r="J15" s="59">
        <f>'FG Users'!G12</f>
        <v>3865.6968319945345</v>
      </c>
      <c r="K15" s="59">
        <f>'FG Users'!H12</f>
        <v>5327.9587667828337</v>
      </c>
      <c r="L15" s="59">
        <f>'FG Users'!I12</f>
        <v>5501.6550909062898</v>
      </c>
      <c r="M15" s="59">
        <f>'FG Users'!J12</f>
        <v>173.69632412345504</v>
      </c>
      <c r="N15" s="59">
        <f>'FG Users'!K12</f>
        <v>5679.6034830129547</v>
      </c>
      <c r="O15" s="59">
        <f>'FG Users'!L12</f>
        <v>5683.8555509961661</v>
      </c>
      <c r="P15" s="59">
        <f>'FG Users'!M12</f>
        <v>5688.1076189793766</v>
      </c>
      <c r="Q15" s="59">
        <f>'FG Users'!N12</f>
        <v>5692.3596869625853</v>
      </c>
      <c r="R15" s="59">
        <f>'FG Users'!O12</f>
        <v>5696.6117549457977</v>
      </c>
      <c r="S15" s="59">
        <f>'FG Users'!P12</f>
        <v>5700.8638229290091</v>
      </c>
      <c r="T15" s="59">
        <f>'FG Users'!Q12</f>
        <v>5705.1158909122178</v>
      </c>
      <c r="U15" s="59">
        <f>'FG Users'!R12</f>
        <v>5709.3679588954283</v>
      </c>
      <c r="V15" s="59">
        <f>'FG Users'!S12</f>
        <v>5713.6200268786397</v>
      </c>
      <c r="W15" s="59">
        <f>'FG Users'!T12</f>
        <v>5717.8720948618493</v>
      </c>
      <c r="X15" s="59">
        <f>'FG Users'!U12</f>
        <v>5764.9973754235662</v>
      </c>
      <c r="Y15" s="59">
        <f>'FG Users'!V12</f>
        <v>5769.2814918382674</v>
      </c>
      <c r="Z15" s="59">
        <f>'FG Users'!W12</f>
        <v>5773.5656082529695</v>
      </c>
      <c r="AA15" s="59">
        <f>'FG Users'!X12</f>
        <v>5777.8497246676698</v>
      </c>
      <c r="AB15" s="59">
        <f>'FG Users'!Y12</f>
        <v>5782.133841082371</v>
      </c>
      <c r="AC15" s="264">
        <f>'FG Users'!Z12</f>
        <v>5786.4179574970722</v>
      </c>
      <c r="AD15" s="339">
        <f t="shared" si="0"/>
        <v>106510.63090194305</v>
      </c>
      <c r="AG15" s="367"/>
    </row>
    <row r="16" spans="1:33" s="53" customFormat="1" ht="12">
      <c r="A16" s="58"/>
      <c r="B16" s="70" t="s">
        <v>446</v>
      </c>
      <c r="C16" s="54" t="s">
        <v>417</v>
      </c>
      <c r="D16" s="209"/>
      <c r="E16" s="216"/>
      <c r="H16" s="59"/>
      <c r="I16" s="59">
        <f>'FG Users'!F13</f>
        <v>0</v>
      </c>
      <c r="J16" s="59">
        <f>'FG Users'!G13</f>
        <v>193.28484159972675</v>
      </c>
      <c r="K16" s="59">
        <f>'FG Users'!H13</f>
        <v>266.39793833914172</v>
      </c>
      <c r="L16" s="59">
        <f>'FG Users'!I13</f>
        <v>275.08275454531451</v>
      </c>
      <c r="M16" s="59">
        <f>'FG Users'!J13</f>
        <v>8.6848162061727532</v>
      </c>
      <c r="N16" s="59">
        <f>'FG Users'!K13</f>
        <v>283.98017415064777</v>
      </c>
      <c r="O16" s="59">
        <f>'FG Users'!L13</f>
        <v>284.19277754980834</v>
      </c>
      <c r="P16" s="59">
        <f>'FG Users'!M13</f>
        <v>284.40538094896885</v>
      </c>
      <c r="Q16" s="59">
        <f>'FG Users'!N13</f>
        <v>284.61798434812926</v>
      </c>
      <c r="R16" s="59">
        <f>'FG Users'!O13</f>
        <v>284.83058774728988</v>
      </c>
      <c r="S16" s="59">
        <f>'FG Users'!P13</f>
        <v>285.04319114645045</v>
      </c>
      <c r="T16" s="59">
        <f>'FG Users'!Q13</f>
        <v>285.25579454561091</v>
      </c>
      <c r="U16" s="59">
        <f>'FG Users'!R13</f>
        <v>285.46839794477143</v>
      </c>
      <c r="V16" s="59">
        <f>'FG Users'!S13</f>
        <v>285.681001343932</v>
      </c>
      <c r="W16" s="59">
        <f>'FG Users'!T13</f>
        <v>285.89360474309245</v>
      </c>
      <c r="X16" s="59">
        <f>'FG Users'!U13</f>
        <v>288.24986877117834</v>
      </c>
      <c r="Y16" s="59">
        <f>'FG Users'!V13</f>
        <v>288.4640745919134</v>
      </c>
      <c r="Z16" s="59">
        <f>'FG Users'!W13</f>
        <v>288.67828041264846</v>
      </c>
      <c r="AA16" s="59">
        <f>'FG Users'!X13</f>
        <v>288.89248623338352</v>
      </c>
      <c r="AB16" s="59">
        <f>'FG Users'!Y13</f>
        <v>289.10669205411858</v>
      </c>
      <c r="AC16" s="264">
        <f>'FG Users'!Z13</f>
        <v>289.32089787485364</v>
      </c>
      <c r="AD16" s="339">
        <f t="shared" si="0"/>
        <v>5325.5315450971539</v>
      </c>
      <c r="AG16" s="367"/>
    </row>
    <row r="17" spans="1:33" s="53" customFormat="1" ht="12">
      <c r="A17" s="58"/>
      <c r="B17" s="70"/>
      <c r="C17" s="78" t="s">
        <v>411</v>
      </c>
      <c r="D17" s="209"/>
      <c r="E17" s="216"/>
      <c r="H17" s="59"/>
      <c r="I17" s="59">
        <f>'FG Users'!F14</f>
        <v>0</v>
      </c>
      <c r="J17" s="59">
        <f>'FG Users'!G14</f>
        <v>193.28484159972675</v>
      </c>
      <c r="K17" s="59">
        <f>'FG Users'!H14</f>
        <v>266.39793833914172</v>
      </c>
      <c r="L17" s="59">
        <f>'FG Users'!I14</f>
        <v>275.08275454531451</v>
      </c>
      <c r="M17" s="59">
        <f>'FG Users'!J14</f>
        <v>8.6848162061727532</v>
      </c>
      <c r="N17" s="59">
        <f>'FG Users'!K14</f>
        <v>283.98017415064777</v>
      </c>
      <c r="O17" s="59">
        <f>'FG Users'!L14</f>
        <v>284.19277754980834</v>
      </c>
      <c r="P17" s="59">
        <f>'FG Users'!M14</f>
        <v>284.40538094896885</v>
      </c>
      <c r="Q17" s="59">
        <f>'FG Users'!N14</f>
        <v>284.61798434812926</v>
      </c>
      <c r="R17" s="59">
        <f>'FG Users'!O14</f>
        <v>284.83058774728988</v>
      </c>
      <c r="S17" s="59">
        <f>'FG Users'!P14</f>
        <v>285.04319114645045</v>
      </c>
      <c r="T17" s="59">
        <f>'FG Users'!Q14</f>
        <v>285.25579454561091</v>
      </c>
      <c r="U17" s="59">
        <f>'FG Users'!R14</f>
        <v>285.46839794477143</v>
      </c>
      <c r="V17" s="59">
        <f>'FG Users'!S14</f>
        <v>285.681001343932</v>
      </c>
      <c r="W17" s="59">
        <f>'FG Users'!T14</f>
        <v>285.89360474309245</v>
      </c>
      <c r="X17" s="59">
        <f>'FG Users'!U14</f>
        <v>288.24986877117834</v>
      </c>
      <c r="Y17" s="59">
        <f>'FG Users'!V14</f>
        <v>288.4640745919134</v>
      </c>
      <c r="Z17" s="59">
        <f>'FG Users'!W14</f>
        <v>288.67828041264846</v>
      </c>
      <c r="AA17" s="59">
        <f>'FG Users'!X14</f>
        <v>288.89248623338352</v>
      </c>
      <c r="AB17" s="59">
        <f>'FG Users'!Y14</f>
        <v>289.10669205411858</v>
      </c>
      <c r="AC17" s="264">
        <f>'FG Users'!Z14</f>
        <v>289.32089787485364</v>
      </c>
      <c r="AD17" s="339">
        <f t="shared" si="0"/>
        <v>5325.5315450971539</v>
      </c>
      <c r="AG17" s="70"/>
    </row>
    <row r="18" spans="1:33" s="53" customFormat="1" ht="12">
      <c r="A18" s="58"/>
      <c r="B18" s="70"/>
      <c r="C18" s="48"/>
      <c r="D18" s="209"/>
      <c r="E18" s="216"/>
      <c r="H18" s="59"/>
      <c r="I18" s="59"/>
      <c r="J18" s="59"/>
      <c r="K18" s="59"/>
      <c r="L18" s="59"/>
      <c r="M18" s="59"/>
      <c r="N18" s="59"/>
      <c r="O18" s="59"/>
      <c r="P18" s="59"/>
      <c r="Q18" s="59"/>
      <c r="R18" s="59"/>
      <c r="S18" s="59"/>
      <c r="T18" s="59"/>
      <c r="U18" s="59"/>
      <c r="V18" s="59"/>
      <c r="W18" s="59"/>
      <c r="X18" s="59"/>
      <c r="Y18" s="59"/>
      <c r="Z18" s="59"/>
      <c r="AA18" s="59"/>
      <c r="AB18" s="59"/>
      <c r="AC18" s="264"/>
      <c r="AD18" s="339"/>
      <c r="AG18" s="368"/>
    </row>
    <row r="19" spans="1:33" s="53" customFormat="1" ht="12">
      <c r="A19" s="58"/>
      <c r="B19" s="5" t="s">
        <v>397</v>
      </c>
      <c r="D19" s="209"/>
      <c r="E19" s="216"/>
      <c r="H19" s="59"/>
      <c r="I19" s="59"/>
      <c r="J19" s="59"/>
      <c r="K19" s="59"/>
      <c r="L19" s="59"/>
      <c r="M19" s="59"/>
      <c r="N19" s="59"/>
      <c r="O19" s="59"/>
      <c r="P19" s="59"/>
      <c r="Q19" s="59"/>
      <c r="R19" s="59"/>
      <c r="S19" s="59"/>
      <c r="T19" s="59"/>
      <c r="U19" s="59"/>
      <c r="V19" s="59"/>
      <c r="W19" s="59"/>
      <c r="X19" s="59"/>
      <c r="Y19" s="59"/>
      <c r="Z19" s="59"/>
      <c r="AA19" s="59"/>
      <c r="AB19" s="59"/>
      <c r="AC19" s="264"/>
      <c r="AD19" s="339"/>
      <c r="AG19" s="288"/>
    </row>
    <row r="20" spans="1:33" s="53" customFormat="1" ht="12">
      <c r="A20" s="58"/>
      <c r="B20" s="70" t="s">
        <v>447</v>
      </c>
      <c r="C20" s="47" t="s">
        <v>95</v>
      </c>
      <c r="D20" s="209"/>
      <c r="E20" s="216"/>
      <c r="H20" s="59"/>
      <c r="I20" s="59">
        <f>'FG Users'!F17</f>
        <v>0</v>
      </c>
      <c r="J20" s="59">
        <f>'FG Users'!G17</f>
        <v>6750</v>
      </c>
      <c r="K20" s="59">
        <f>'FG Users'!H17</f>
        <v>9216.25</v>
      </c>
      <c r="L20" s="59">
        <f>'FG Users'!I17</f>
        <v>9308.4125000000004</v>
      </c>
      <c r="M20" s="59">
        <f>'FG Users'!J17</f>
        <v>9401.4966250000016</v>
      </c>
      <c r="N20" s="59">
        <f>'FG Users'!K17</f>
        <v>9495.5115912500005</v>
      </c>
      <c r="O20" s="59">
        <f>'FG Users'!L17</f>
        <v>9590.466707162499</v>
      </c>
      <c r="P20" s="59">
        <f>'FG Users'!M17</f>
        <v>9686.3713742341261</v>
      </c>
      <c r="Q20" s="59">
        <f>'FG Users'!N17</f>
        <v>9783.235087976469</v>
      </c>
      <c r="R20" s="59">
        <f>'FG Users'!O17</f>
        <v>9881.0674388562329</v>
      </c>
      <c r="S20" s="59">
        <f>'FG Users'!P17</f>
        <v>9979.8781132447948</v>
      </c>
      <c r="T20" s="59">
        <f>'FG Users'!Q17</f>
        <v>10079.676894377242</v>
      </c>
      <c r="U20" s="59">
        <f>'FG Users'!R17</f>
        <v>10180.473663321014</v>
      </c>
      <c r="V20" s="59">
        <f>'FG Users'!S17</f>
        <v>10282.278399954226</v>
      </c>
      <c r="W20" s="59">
        <f>'FG Users'!T17</f>
        <v>10385.101183953768</v>
      </c>
      <c r="X20" s="59">
        <f>'FG Users'!U17</f>
        <v>10488.952195793305</v>
      </c>
      <c r="Y20" s="59">
        <f>'FG Users'!V17</f>
        <v>10593.841717751238</v>
      </c>
      <c r="Z20" s="59">
        <f>'FG Users'!W17</f>
        <v>10699.780134928751</v>
      </c>
      <c r="AA20" s="59">
        <f>'FG Users'!X17</f>
        <v>10806.777936278038</v>
      </c>
      <c r="AB20" s="59">
        <f>'FG Users'!Y17</f>
        <v>10914.845715640819</v>
      </c>
      <c r="AC20" s="264">
        <f>'FG Users'!Z17</f>
        <v>11023.994172797227</v>
      </c>
      <c r="AD20" s="339">
        <f t="shared" si="0"/>
        <v>198548.41145251971</v>
      </c>
      <c r="AG20" s="288"/>
    </row>
    <row r="21" spans="1:33" s="53" customFormat="1" ht="12">
      <c r="A21" s="58"/>
      <c r="B21" s="70"/>
      <c r="C21" s="78" t="s">
        <v>493</v>
      </c>
      <c r="D21" s="209"/>
      <c r="E21" s="216"/>
      <c r="H21" s="59"/>
      <c r="I21" s="59">
        <f>'FG Users'!F18</f>
        <v>0</v>
      </c>
      <c r="J21" s="59">
        <f>'FG Users'!G18</f>
        <v>3375</v>
      </c>
      <c r="K21" s="59">
        <f>'FG Users'!H18</f>
        <v>4608.125</v>
      </c>
      <c r="L21" s="59">
        <f>'FG Users'!I18</f>
        <v>4654.2062500000002</v>
      </c>
      <c r="M21" s="59">
        <f>'FG Users'!J18</f>
        <v>4700.7483125000008</v>
      </c>
      <c r="N21" s="59">
        <f>'FG Users'!K18</f>
        <v>4747.7557956250002</v>
      </c>
      <c r="O21" s="59">
        <f>'FG Users'!L18</f>
        <v>4795.2333535812495</v>
      </c>
      <c r="P21" s="59">
        <f>'FG Users'!M18</f>
        <v>4843.185687117063</v>
      </c>
      <c r="Q21" s="59">
        <f>'FG Users'!N18</f>
        <v>4891.6175439882345</v>
      </c>
      <c r="R21" s="59">
        <f>'FG Users'!O18</f>
        <v>4940.5337194281165</v>
      </c>
      <c r="S21" s="59">
        <f>'FG Users'!P18</f>
        <v>4989.9390566223974</v>
      </c>
      <c r="T21" s="59">
        <f>'FG Users'!Q18</f>
        <v>5039.8384471886211</v>
      </c>
      <c r="U21" s="59">
        <f>'FG Users'!R18</f>
        <v>5090.2368316605071</v>
      </c>
      <c r="V21" s="59">
        <f>'FG Users'!S18</f>
        <v>5141.1391999771131</v>
      </c>
      <c r="W21" s="59">
        <f>'FG Users'!T18</f>
        <v>5192.5505919768839</v>
      </c>
      <c r="X21" s="59">
        <f>'FG Users'!U18</f>
        <v>5244.4760978966524</v>
      </c>
      <c r="Y21" s="59">
        <f>'FG Users'!V18</f>
        <v>5296.9208588756192</v>
      </c>
      <c r="Z21" s="59">
        <f>'FG Users'!W18</f>
        <v>5349.8900674643755</v>
      </c>
      <c r="AA21" s="59">
        <f>'FG Users'!X18</f>
        <v>5403.3889681390192</v>
      </c>
      <c r="AB21" s="59">
        <f>'FG Users'!Y18</f>
        <v>5457.4228578204093</v>
      </c>
      <c r="AC21" s="264">
        <f>'FG Users'!Z18</f>
        <v>5511.9970863986136</v>
      </c>
      <c r="AD21" s="339">
        <f t="shared" si="0"/>
        <v>99274.205726259854</v>
      </c>
      <c r="AG21" s="288"/>
    </row>
    <row r="22" spans="1:33" s="53" customFormat="1" ht="12">
      <c r="A22" s="58"/>
      <c r="B22" s="70"/>
      <c r="C22" s="47" t="s">
        <v>148</v>
      </c>
      <c r="D22" s="209"/>
      <c r="E22" s="216"/>
      <c r="H22" s="59"/>
      <c r="I22" s="59">
        <f>'FG Users'!F19</f>
        <v>0</v>
      </c>
      <c r="J22" s="59">
        <f>'FG Users'!G19</f>
        <v>3375</v>
      </c>
      <c r="K22" s="59">
        <f>'FG Users'!H19</f>
        <v>4608.125</v>
      </c>
      <c r="L22" s="59">
        <f>'FG Users'!I19</f>
        <v>4654.2062500000002</v>
      </c>
      <c r="M22" s="59">
        <f>'FG Users'!J19</f>
        <v>4700.7483125000008</v>
      </c>
      <c r="N22" s="59">
        <f>'FG Users'!K19</f>
        <v>4747.7557956250002</v>
      </c>
      <c r="O22" s="59">
        <f>'FG Users'!L19</f>
        <v>4795.2333535812495</v>
      </c>
      <c r="P22" s="59">
        <f>'FG Users'!M19</f>
        <v>4843.185687117063</v>
      </c>
      <c r="Q22" s="59">
        <f>'FG Users'!N19</f>
        <v>4891.6175439882345</v>
      </c>
      <c r="R22" s="59">
        <f>'FG Users'!O19</f>
        <v>4940.5337194281165</v>
      </c>
      <c r="S22" s="59">
        <f>'FG Users'!P19</f>
        <v>4989.9390566223974</v>
      </c>
      <c r="T22" s="59">
        <f>'FG Users'!Q19</f>
        <v>5039.8384471886211</v>
      </c>
      <c r="U22" s="59">
        <f>'FG Users'!R19</f>
        <v>5090.2368316605071</v>
      </c>
      <c r="V22" s="59">
        <f>'FG Users'!S19</f>
        <v>5141.1391999771131</v>
      </c>
      <c r="W22" s="59">
        <f>'FG Users'!T19</f>
        <v>5192.5505919768839</v>
      </c>
      <c r="X22" s="59">
        <f>'FG Users'!U19</f>
        <v>5244.4760978966524</v>
      </c>
      <c r="Y22" s="59">
        <f>'FG Users'!V19</f>
        <v>5296.9208588756192</v>
      </c>
      <c r="Z22" s="59">
        <f>'FG Users'!W19</f>
        <v>5349.8900674643755</v>
      </c>
      <c r="AA22" s="59">
        <f>'FG Users'!X19</f>
        <v>5403.3889681390192</v>
      </c>
      <c r="AB22" s="59">
        <f>'FG Users'!Y19</f>
        <v>5457.4228578204093</v>
      </c>
      <c r="AC22" s="264">
        <f>'FG Users'!Z19</f>
        <v>5511.9970863986136</v>
      </c>
      <c r="AD22" s="339">
        <f t="shared" si="0"/>
        <v>99274.205726259854</v>
      </c>
      <c r="AG22" s="288"/>
    </row>
    <row r="23" spans="1:33" s="53" customFormat="1" ht="12">
      <c r="A23" s="58"/>
      <c r="B23" s="70"/>
      <c r="C23" s="78" t="s">
        <v>421</v>
      </c>
      <c r="D23" s="209"/>
      <c r="E23" s="216"/>
      <c r="H23" s="59"/>
      <c r="I23" s="59">
        <f>'FG Users'!F20</f>
        <v>0</v>
      </c>
      <c r="J23" s="59">
        <f>'FG Users'!G20</f>
        <v>10125</v>
      </c>
      <c r="K23" s="59">
        <f>'FG Users'!H20</f>
        <v>13824.375</v>
      </c>
      <c r="L23" s="59">
        <f>'FG Users'!I20</f>
        <v>13962.61875</v>
      </c>
      <c r="M23" s="59">
        <f>'FG Users'!J20</f>
        <v>14102.244937500001</v>
      </c>
      <c r="N23" s="59">
        <f>'FG Users'!K20</f>
        <v>14243.267386874999</v>
      </c>
      <c r="O23" s="59">
        <f>'FG Users'!L20</f>
        <v>14385.700060743749</v>
      </c>
      <c r="P23" s="59">
        <f>'FG Users'!M20</f>
        <v>14529.55706135119</v>
      </c>
      <c r="Q23" s="59">
        <f>'FG Users'!N20</f>
        <v>14674.852631964701</v>
      </c>
      <c r="R23" s="59">
        <f>'FG Users'!O20</f>
        <v>14821.601158284346</v>
      </c>
      <c r="S23" s="59">
        <f>'FG Users'!P20</f>
        <v>14969.81716986719</v>
      </c>
      <c r="T23" s="59">
        <f>'FG Users'!Q20</f>
        <v>15119.515341565862</v>
      </c>
      <c r="U23" s="59">
        <f>'FG Users'!R20</f>
        <v>15270.71049498152</v>
      </c>
      <c r="V23" s="59">
        <f>'FG Users'!S20</f>
        <v>15423.417599931337</v>
      </c>
      <c r="W23" s="59">
        <f>'FG Users'!T20</f>
        <v>15577.651775930648</v>
      </c>
      <c r="X23" s="59">
        <f>'FG Users'!U20</f>
        <v>15733.428293689956</v>
      </c>
      <c r="Y23" s="59">
        <f>'FG Users'!V20</f>
        <v>15890.762576626857</v>
      </c>
      <c r="Z23" s="59">
        <f>'FG Users'!W20</f>
        <v>16049.670202393125</v>
      </c>
      <c r="AA23" s="59">
        <f>'FG Users'!X20</f>
        <v>16210.166904417056</v>
      </c>
      <c r="AB23" s="59">
        <f>'FG Users'!Y20</f>
        <v>16372.268573461224</v>
      </c>
      <c r="AC23" s="264">
        <f>'FG Users'!Z20</f>
        <v>16535.991259195838</v>
      </c>
      <c r="AD23" s="339">
        <f t="shared" si="0"/>
        <v>297822.61717877962</v>
      </c>
      <c r="AG23" s="367"/>
    </row>
    <row r="24" spans="1:33" s="53" customFormat="1" ht="12">
      <c r="A24" s="58"/>
      <c r="B24" s="70"/>
      <c r="C24" s="47" t="s">
        <v>152</v>
      </c>
      <c r="D24" s="209"/>
      <c r="E24" s="216"/>
      <c r="H24" s="59"/>
      <c r="I24" s="59">
        <f>'FG Users'!F21</f>
        <v>0</v>
      </c>
      <c r="J24" s="59">
        <f>'FG Users'!G21</f>
        <v>10125</v>
      </c>
      <c r="K24" s="59">
        <f>'FG Users'!H21</f>
        <v>13824.375</v>
      </c>
      <c r="L24" s="59">
        <f>'FG Users'!I21</f>
        <v>13962.61875</v>
      </c>
      <c r="M24" s="59">
        <f>'FG Users'!J21</f>
        <v>14102.244937500001</v>
      </c>
      <c r="N24" s="59">
        <f>'FG Users'!K21</f>
        <v>14243.267386874999</v>
      </c>
      <c r="O24" s="59">
        <f>'FG Users'!L21</f>
        <v>14385.700060743749</v>
      </c>
      <c r="P24" s="59">
        <f>'FG Users'!M21</f>
        <v>14529.55706135119</v>
      </c>
      <c r="Q24" s="59">
        <f>'FG Users'!N21</f>
        <v>14674.852631964701</v>
      </c>
      <c r="R24" s="59">
        <f>'FG Users'!O21</f>
        <v>14821.601158284346</v>
      </c>
      <c r="S24" s="59">
        <f>'FG Users'!P21</f>
        <v>14969.81716986719</v>
      </c>
      <c r="T24" s="59">
        <f>'FG Users'!Q21</f>
        <v>15119.515341565862</v>
      </c>
      <c r="U24" s="59">
        <f>'FG Users'!R21</f>
        <v>15270.71049498152</v>
      </c>
      <c r="V24" s="59">
        <f>'FG Users'!S21</f>
        <v>15423.417599931337</v>
      </c>
      <c r="W24" s="59">
        <f>'FG Users'!T21</f>
        <v>15577.651775930648</v>
      </c>
      <c r="X24" s="59">
        <f>'FG Users'!U21</f>
        <v>15733.428293689956</v>
      </c>
      <c r="Y24" s="59">
        <f>'FG Users'!V21</f>
        <v>15890.762576626857</v>
      </c>
      <c r="Z24" s="59">
        <f>'FG Users'!W21</f>
        <v>16049.670202393125</v>
      </c>
      <c r="AA24" s="59">
        <f>'FG Users'!X21</f>
        <v>16210.166904417056</v>
      </c>
      <c r="AB24" s="59">
        <f>'FG Users'!Y21</f>
        <v>16372.268573461224</v>
      </c>
      <c r="AC24" s="264">
        <f>'FG Users'!Z21</f>
        <v>16535.991259195838</v>
      </c>
      <c r="AD24" s="339">
        <f t="shared" si="0"/>
        <v>297822.61717877962</v>
      </c>
      <c r="AG24" s="369"/>
    </row>
    <row r="25" spans="1:33" s="53" customFormat="1" ht="12">
      <c r="A25" s="58"/>
      <c r="B25" s="70" t="s">
        <v>446</v>
      </c>
      <c r="C25" s="78" t="s">
        <v>426</v>
      </c>
      <c r="D25" s="209"/>
      <c r="E25" s="216"/>
      <c r="H25" s="59"/>
      <c r="I25" s="59">
        <f>'FG Users'!F22</f>
        <v>0</v>
      </c>
      <c r="J25" s="59">
        <f>'FG Users'!G22</f>
        <v>16875</v>
      </c>
      <c r="K25" s="59">
        <f>'FG Users'!H22</f>
        <v>23040.625</v>
      </c>
      <c r="L25" s="59">
        <f>'FG Users'!I22</f>
        <v>23271.03125</v>
      </c>
      <c r="M25" s="59">
        <f>'FG Users'!J22</f>
        <v>23503.741562500003</v>
      </c>
      <c r="N25" s="59">
        <f>'FG Users'!K22</f>
        <v>23738.778978124999</v>
      </c>
      <c r="O25" s="59">
        <f>'FG Users'!L22</f>
        <v>23976.166767906248</v>
      </c>
      <c r="P25" s="59">
        <f>'FG Users'!M22</f>
        <v>24215.928435585316</v>
      </c>
      <c r="Q25" s="59">
        <f>'FG Users'!N22</f>
        <v>24458.08771994117</v>
      </c>
      <c r="R25" s="59">
        <f>'FG Users'!O22</f>
        <v>24702.668597140579</v>
      </c>
      <c r="S25" s="59">
        <f>'FG Users'!P22</f>
        <v>24949.695283111985</v>
      </c>
      <c r="T25" s="59">
        <f>'FG Users'!Q22</f>
        <v>25199.192235943105</v>
      </c>
      <c r="U25" s="59">
        <f>'FG Users'!R22</f>
        <v>25451.184158302534</v>
      </c>
      <c r="V25" s="59">
        <f>'FG Users'!S22</f>
        <v>25705.695999885564</v>
      </c>
      <c r="W25" s="59">
        <f>'FG Users'!T22</f>
        <v>25962.752959884416</v>
      </c>
      <c r="X25" s="59">
        <f>'FG Users'!U22</f>
        <v>26222.380489483261</v>
      </c>
      <c r="Y25" s="59">
        <f>'FG Users'!V22</f>
        <v>26484.604294378096</v>
      </c>
      <c r="Z25" s="59">
        <f>'FG Users'!W22</f>
        <v>26749.450337321876</v>
      </c>
      <c r="AA25" s="59">
        <f>'FG Users'!X22</f>
        <v>27016.944840695094</v>
      </c>
      <c r="AB25" s="59">
        <f>'FG Users'!Y22</f>
        <v>27287.114289102043</v>
      </c>
      <c r="AC25" s="264">
        <f>'FG Users'!Z22</f>
        <v>27559.985431993067</v>
      </c>
      <c r="AD25" s="339">
        <f t="shared" si="0"/>
        <v>496371.02863129927</v>
      </c>
      <c r="AG25" s="369"/>
    </row>
    <row r="26" spans="1:33" s="53" customFormat="1" ht="12">
      <c r="A26" s="58"/>
      <c r="B26" s="70"/>
      <c r="C26" s="78" t="s">
        <v>457</v>
      </c>
      <c r="D26" s="209"/>
      <c r="E26" s="216"/>
      <c r="H26" s="59"/>
      <c r="I26" s="59">
        <f>'FG Users'!F23</f>
        <v>0</v>
      </c>
      <c r="J26" s="59">
        <f>'FG Users'!G23</f>
        <v>16875</v>
      </c>
      <c r="K26" s="59">
        <f>'FG Users'!H23</f>
        <v>23040.625</v>
      </c>
      <c r="L26" s="59">
        <f>'FG Users'!I23</f>
        <v>23271.03125</v>
      </c>
      <c r="M26" s="59">
        <f>'FG Users'!J23</f>
        <v>23503.741562500003</v>
      </c>
      <c r="N26" s="59">
        <f>'FG Users'!K23</f>
        <v>23738.778978124999</v>
      </c>
      <c r="O26" s="59">
        <f>'FG Users'!L23</f>
        <v>23976.166767906248</v>
      </c>
      <c r="P26" s="59">
        <f>'FG Users'!M23</f>
        <v>24215.928435585316</v>
      </c>
      <c r="Q26" s="59">
        <f>'FG Users'!N23</f>
        <v>24458.08771994117</v>
      </c>
      <c r="R26" s="59">
        <f>'FG Users'!O23</f>
        <v>24702.668597140579</v>
      </c>
      <c r="S26" s="59">
        <f>'FG Users'!P23</f>
        <v>24949.695283111985</v>
      </c>
      <c r="T26" s="59">
        <f>'FG Users'!Q23</f>
        <v>25199.192235943105</v>
      </c>
      <c r="U26" s="59">
        <f>'FG Users'!R23</f>
        <v>25451.184158302534</v>
      </c>
      <c r="V26" s="59">
        <f>'FG Users'!S23</f>
        <v>25705.695999885564</v>
      </c>
      <c r="W26" s="59">
        <f>'FG Users'!T23</f>
        <v>25962.752959884416</v>
      </c>
      <c r="X26" s="59">
        <f>'FG Users'!U23</f>
        <v>26222.380489483261</v>
      </c>
      <c r="Y26" s="59">
        <f>'FG Users'!V23</f>
        <v>26484.604294378096</v>
      </c>
      <c r="Z26" s="59">
        <f>'FG Users'!W23</f>
        <v>26749.450337321876</v>
      </c>
      <c r="AA26" s="59">
        <f>'FG Users'!X23</f>
        <v>27016.944840695094</v>
      </c>
      <c r="AB26" s="59">
        <f>'FG Users'!Y23</f>
        <v>27287.114289102043</v>
      </c>
      <c r="AC26" s="264">
        <f>'FG Users'!Z23</f>
        <v>27559.985431993067</v>
      </c>
      <c r="AD26" s="339">
        <f t="shared" si="0"/>
        <v>496371.02863129927</v>
      </c>
      <c r="AG26" s="369"/>
    </row>
    <row r="27" spans="1:33" s="53" customFormat="1" ht="12">
      <c r="A27" s="58"/>
      <c r="B27" s="70"/>
      <c r="C27" s="78"/>
      <c r="D27" s="209"/>
      <c r="E27" s="216"/>
      <c r="H27" s="59"/>
      <c r="I27" s="59"/>
      <c r="J27" s="59"/>
      <c r="K27" s="59"/>
      <c r="L27" s="59"/>
      <c r="M27" s="59"/>
      <c r="N27" s="59"/>
      <c r="O27" s="59"/>
      <c r="P27" s="59"/>
      <c r="Q27" s="59"/>
      <c r="R27" s="59"/>
      <c r="S27" s="59"/>
      <c r="T27" s="59"/>
      <c r="U27" s="59"/>
      <c r="V27" s="59"/>
      <c r="W27" s="59"/>
      <c r="X27" s="59"/>
      <c r="Y27" s="59"/>
      <c r="AC27" s="263"/>
      <c r="AD27" s="338"/>
      <c r="AG27" s="369"/>
    </row>
    <row r="28" spans="1:33" s="53" customFormat="1" ht="12">
      <c r="A28" s="58"/>
      <c r="B28" s="5" t="s">
        <v>352</v>
      </c>
      <c r="D28" s="209"/>
      <c r="E28" s="216"/>
      <c r="H28" s="59"/>
      <c r="I28" s="59"/>
      <c r="J28" s="59"/>
      <c r="K28" s="59"/>
      <c r="L28" s="59"/>
      <c r="M28" s="59"/>
      <c r="N28" s="59"/>
      <c r="O28" s="59"/>
      <c r="P28" s="59"/>
      <c r="Q28" s="59"/>
      <c r="R28" s="59"/>
      <c r="S28" s="59"/>
      <c r="T28" s="59"/>
      <c r="U28" s="59"/>
      <c r="V28" s="59"/>
      <c r="W28" s="59"/>
      <c r="X28" s="59"/>
      <c r="Y28" s="59"/>
      <c r="AC28" s="263"/>
      <c r="AD28" s="338"/>
      <c r="AG28" s="370"/>
    </row>
    <row r="29" spans="1:33" s="53" customFormat="1" ht="12">
      <c r="A29" s="58"/>
      <c r="B29" s="70" t="s">
        <v>447</v>
      </c>
      <c r="C29" s="70" t="s">
        <v>350</v>
      </c>
      <c r="D29" s="209"/>
      <c r="E29" s="216"/>
      <c r="F29" s="104">
        <f>'FG Users'!C26</f>
        <v>0</v>
      </c>
      <c r="G29" s="104">
        <f>'FG Users'!D26</f>
        <v>0</v>
      </c>
      <c r="H29" s="104">
        <f>'FG Users'!E26</f>
        <v>0</v>
      </c>
      <c r="I29" s="104">
        <f>'FG Users'!F26</f>
        <v>0</v>
      </c>
      <c r="J29" s="104">
        <f>'FG Users'!G26</f>
        <v>1925.1646875213601</v>
      </c>
      <c r="K29" s="104">
        <f>'FG Users'!H26</f>
        <v>2653.3891611691356</v>
      </c>
      <c r="L29" s="104">
        <f>'FG Users'!I26</f>
        <v>2739.8920723097926</v>
      </c>
      <c r="M29" s="104">
        <f>'FG Users'!J26</f>
        <v>86.50291114065638</v>
      </c>
      <c r="N29" s="104">
        <f>'FG Users'!K26</f>
        <v>2828.5125657353465</v>
      </c>
      <c r="O29" s="104">
        <f>'FG Users'!L26</f>
        <v>2830.6301480202442</v>
      </c>
      <c r="P29" s="104">
        <f>'FG Users'!M26</f>
        <v>2832.7477303051428</v>
      </c>
      <c r="Q29" s="104">
        <f>'FG Users'!N26</f>
        <v>2834.86531259004</v>
      </c>
      <c r="R29" s="104">
        <f>'FG Users'!O26</f>
        <v>2836.9828948749378</v>
      </c>
      <c r="S29" s="104">
        <f>'FG Users'!P26</f>
        <v>2839.1004771598359</v>
      </c>
      <c r="T29" s="104">
        <f>'FG Users'!Q26</f>
        <v>2841.2180594447327</v>
      </c>
      <c r="U29" s="104">
        <f>'FG Users'!R26</f>
        <v>2843.3356417296309</v>
      </c>
      <c r="V29" s="104">
        <f>'FG Users'!S26</f>
        <v>2845.4532240145286</v>
      </c>
      <c r="W29" s="104">
        <f>'FG Users'!T26</f>
        <v>2847.5708062994263</v>
      </c>
      <c r="X29" s="104">
        <f>'FG Users'!U26</f>
        <v>2871.0397770878426</v>
      </c>
      <c r="Y29" s="104">
        <f>'FG Users'!V26</f>
        <v>2873.1733198867896</v>
      </c>
      <c r="Z29" s="104">
        <f>'FG Users'!W26</f>
        <v>2875.3068626857366</v>
      </c>
      <c r="AA29" s="104">
        <f>'FG Users'!X26</f>
        <v>2877.4404054846832</v>
      </c>
      <c r="AB29" s="104">
        <f>'FG Users'!Y26</f>
        <v>2879.5739482836298</v>
      </c>
      <c r="AC29" s="265">
        <f>'FG Users'!Z26</f>
        <v>2881.7074910825772</v>
      </c>
      <c r="AD29" s="340">
        <f t="shared" si="0"/>
        <v>53043.607496826058</v>
      </c>
    </row>
    <row r="30" spans="1:33" s="53" customFormat="1" ht="12">
      <c r="A30" s="58"/>
      <c r="B30" s="70" t="s">
        <v>446</v>
      </c>
      <c r="C30" s="54" t="s">
        <v>418</v>
      </c>
      <c r="D30" s="209"/>
      <c r="E30" s="216"/>
      <c r="F30" s="104"/>
      <c r="G30" s="104"/>
      <c r="H30" s="104"/>
      <c r="I30" s="104">
        <f>'FG Users'!F27</f>
        <v>0</v>
      </c>
      <c r="J30" s="104">
        <f>'FG Users'!G27</f>
        <v>481.29117188034002</v>
      </c>
      <c r="K30" s="104">
        <f>'FG Users'!H27</f>
        <v>663.3472902922839</v>
      </c>
      <c r="L30" s="104">
        <f>'FG Users'!I27</f>
        <v>684.97301807744816</v>
      </c>
      <c r="M30" s="104">
        <f>'FG Users'!J27</f>
        <v>21.625727785164095</v>
      </c>
      <c r="N30" s="104">
        <f>'FG Users'!K27</f>
        <v>707.12814143383662</v>
      </c>
      <c r="O30" s="104">
        <f>'FG Users'!L27</f>
        <v>707.65753700506104</v>
      </c>
      <c r="P30" s="104">
        <f>'FG Users'!M27</f>
        <v>708.1869325762857</v>
      </c>
      <c r="Q30" s="104">
        <f>'FG Users'!N27</f>
        <v>708.71632814751001</v>
      </c>
      <c r="R30" s="104">
        <f>'FG Users'!O27</f>
        <v>709.24572371873444</v>
      </c>
      <c r="S30" s="104">
        <f>'FG Users'!P27</f>
        <v>709.77511928995898</v>
      </c>
      <c r="T30" s="104">
        <f>'FG Users'!Q27</f>
        <v>710.30451486118318</v>
      </c>
      <c r="U30" s="104">
        <f>'FG Users'!R27</f>
        <v>710.83391043240772</v>
      </c>
      <c r="V30" s="104">
        <f>'FG Users'!S27</f>
        <v>711.36330600363215</v>
      </c>
      <c r="W30" s="104">
        <f>'FG Users'!T27</f>
        <v>711.89270157485657</v>
      </c>
      <c r="X30" s="104">
        <f>'FG Users'!U27</f>
        <v>717.75994427196065</v>
      </c>
      <c r="Y30" s="104">
        <f>'FG Users'!V27</f>
        <v>718.2933299716974</v>
      </c>
      <c r="Z30" s="104">
        <f>'FG Users'!W27</f>
        <v>718.82671567143416</v>
      </c>
      <c r="AA30" s="104">
        <f>'FG Users'!X27</f>
        <v>719.3601013711708</v>
      </c>
      <c r="AB30" s="104">
        <f>'FG Users'!Y27</f>
        <v>719.89348707090744</v>
      </c>
      <c r="AC30" s="265">
        <f>'FG Users'!Z27</f>
        <v>720.42687277064431</v>
      </c>
      <c r="AD30" s="340">
        <f t="shared" si="0"/>
        <v>13260.901874206515</v>
      </c>
    </row>
    <row r="31" spans="1:33" s="53" customFormat="1" ht="12">
      <c r="A31" s="58"/>
      <c r="B31" s="70"/>
      <c r="C31" s="78" t="s">
        <v>419</v>
      </c>
      <c r="D31" s="209"/>
      <c r="E31" s="216"/>
      <c r="F31" s="104"/>
      <c r="G31" s="104"/>
      <c r="H31" s="104"/>
      <c r="I31" s="104">
        <f>'FG Users'!F28</f>
        <v>0</v>
      </c>
      <c r="J31" s="104">
        <f>'FG Users'!G28</f>
        <v>288.77470312820395</v>
      </c>
      <c r="K31" s="104">
        <f>'FG Users'!H28</f>
        <v>398.00837417537031</v>
      </c>
      <c r="L31" s="104">
        <f>'FG Users'!I28</f>
        <v>410.98381084646888</v>
      </c>
      <c r="M31" s="104">
        <f>'FG Users'!J28</f>
        <v>12.975436671098457</v>
      </c>
      <c r="N31" s="104">
        <f>'FG Users'!K28</f>
        <v>424.27688486030195</v>
      </c>
      <c r="O31" s="104">
        <f>'FG Users'!L28</f>
        <v>424.5945222030366</v>
      </c>
      <c r="P31" s="104">
        <f>'FG Users'!M28</f>
        <v>424.91215954577143</v>
      </c>
      <c r="Q31" s="104">
        <f>'FG Users'!N28</f>
        <v>425.22979688850597</v>
      </c>
      <c r="R31" s="104">
        <f>'FG Users'!O28</f>
        <v>425.54743423124063</v>
      </c>
      <c r="S31" s="104">
        <f>'FG Users'!P28</f>
        <v>425.8650715739754</v>
      </c>
      <c r="T31" s="104">
        <f>'FG Users'!Q28</f>
        <v>426.18270891670988</v>
      </c>
      <c r="U31" s="104">
        <f>'FG Users'!R28</f>
        <v>426.5003462594446</v>
      </c>
      <c r="V31" s="104">
        <f>'FG Users'!S28</f>
        <v>426.81798360217925</v>
      </c>
      <c r="W31" s="104">
        <f>'FG Users'!T28</f>
        <v>427.13562094491391</v>
      </c>
      <c r="X31" s="104">
        <f>'FG Users'!U28</f>
        <v>430.65596656317638</v>
      </c>
      <c r="Y31" s="104">
        <f>'FG Users'!V28</f>
        <v>430.97599798301843</v>
      </c>
      <c r="Z31" s="104">
        <f>'FG Users'!W28</f>
        <v>431.29602940286048</v>
      </c>
      <c r="AA31" s="104">
        <f>'FG Users'!X28</f>
        <v>431.61606082270248</v>
      </c>
      <c r="AB31" s="104">
        <f>'FG Users'!Y28</f>
        <v>431.93609224254448</v>
      </c>
      <c r="AC31" s="265">
        <f>'FG Users'!Z28</f>
        <v>432.25612366238659</v>
      </c>
      <c r="AD31" s="340">
        <f t="shared" si="0"/>
        <v>7956.541124523912</v>
      </c>
      <c r="AG31" s="70"/>
    </row>
    <row r="32" spans="1:33" s="53" customFormat="1" ht="12">
      <c r="A32" s="58"/>
      <c r="B32" s="70"/>
      <c r="D32" s="209"/>
      <c r="E32" s="216"/>
      <c r="H32" s="59"/>
      <c r="I32" s="59"/>
      <c r="J32" s="59"/>
      <c r="K32" s="59"/>
      <c r="L32" s="59"/>
      <c r="M32" s="59"/>
      <c r="N32" s="59"/>
      <c r="O32" s="59"/>
      <c r="P32" s="59"/>
      <c r="Q32" s="59"/>
      <c r="R32" s="59"/>
      <c r="S32" s="59"/>
      <c r="T32" s="59"/>
      <c r="U32" s="59"/>
      <c r="V32" s="59"/>
      <c r="W32" s="59"/>
      <c r="X32" s="59"/>
      <c r="Y32" s="59"/>
      <c r="AC32" s="263"/>
      <c r="AD32" s="338"/>
    </row>
    <row r="33" spans="1:33" s="53" customFormat="1" ht="12">
      <c r="A33" s="58"/>
      <c r="B33" s="58" t="s">
        <v>420</v>
      </c>
      <c r="D33" s="209"/>
      <c r="E33" s="216"/>
      <c r="H33" s="59"/>
      <c r="I33" s="59"/>
      <c r="J33" s="59"/>
      <c r="K33" s="59"/>
      <c r="L33" s="59"/>
      <c r="M33" s="59"/>
      <c r="N33" s="59"/>
      <c r="O33" s="59"/>
      <c r="P33" s="59"/>
      <c r="Q33" s="59"/>
      <c r="R33" s="59"/>
      <c r="S33" s="59"/>
      <c r="T33" s="59"/>
      <c r="U33" s="59"/>
      <c r="V33" s="59"/>
      <c r="W33" s="59"/>
      <c r="X33" s="59"/>
      <c r="Y33" s="59"/>
      <c r="AC33" s="263"/>
      <c r="AD33" s="338"/>
      <c r="AG33" s="288"/>
    </row>
    <row r="34" spans="1:33" s="53" customFormat="1" ht="12">
      <c r="A34" s="58"/>
      <c r="B34" s="70"/>
      <c r="C34" s="78" t="s">
        <v>488</v>
      </c>
      <c r="D34" s="209"/>
      <c r="E34" s="216"/>
      <c r="F34" s="279">
        <f>'FG Users'!C40</f>
        <v>0</v>
      </c>
      <c r="G34" s="279">
        <f>'FG Users'!D40</f>
        <v>0</v>
      </c>
      <c r="H34" s="279">
        <f>'FG Users'!E40</f>
        <v>0</v>
      </c>
      <c r="I34" s="279">
        <f>'FG Users'!F40</f>
        <v>0</v>
      </c>
      <c r="J34" s="279">
        <f>'FG Users'!G40</f>
        <v>54769.631668522459</v>
      </c>
      <c r="K34" s="279">
        <f>'FG Users'!H40</f>
        <v>75051.895058336711</v>
      </c>
      <c r="L34" s="279">
        <f>'FG Users'!I40</f>
        <v>76457.177058643487</v>
      </c>
      <c r="M34" s="279">
        <f>'FG Users'!J40</f>
        <v>47951.952625306767</v>
      </c>
      <c r="N34" s="279">
        <f>'FG Users'!K40</f>
        <v>78360.262530522814</v>
      </c>
      <c r="O34" s="279">
        <f>'FG Users'!L40</f>
        <v>78858.158625407916</v>
      </c>
      <c r="P34" s="279">
        <f>'FG Users'!M40</f>
        <v>79360.802476088633</v>
      </c>
      <c r="Q34" s="279">
        <f>'FG Users'!N40</f>
        <v>79868.24156012293</v>
      </c>
      <c r="R34" s="279">
        <f>'FG Users'!O40</f>
        <v>80380.523829844315</v>
      </c>
      <c r="S34" s="279">
        <f>'FG Users'!P40</f>
        <v>80897.697717109739</v>
      </c>
      <c r="T34" s="279">
        <f>'FG Users'!Q40</f>
        <v>81419.812138094538</v>
      </c>
      <c r="U34" s="279">
        <f>'FG Users'!R40</f>
        <v>81946.916498136008</v>
      </c>
      <c r="V34" s="279">
        <f>'FG Users'!S40</f>
        <v>82479.060696624641</v>
      </c>
      <c r="W34" s="279">
        <f>'FG Users'!T40</f>
        <v>83016.295131944935</v>
      </c>
      <c r="X34" s="279">
        <f>'FG Users'!U40</f>
        <v>83791.792747849278</v>
      </c>
      <c r="Y34" s="279">
        <f>'FG Users'!V40</f>
        <v>84339.53513552135</v>
      </c>
      <c r="Z34" s="279">
        <f>'FG Users'!W40</f>
        <v>84892.521999291333</v>
      </c>
      <c r="AA34" s="279">
        <f>'FG Users'!X40</f>
        <v>85450.805783920208</v>
      </c>
      <c r="AB34" s="279">
        <f>'FG Users'!Y40</f>
        <v>86014.4394586165</v>
      </c>
      <c r="AC34" s="384">
        <f>'FG Users'!Z40</f>
        <v>86583.476522280995</v>
      </c>
      <c r="AD34" s="341">
        <f t="shared" si="0"/>
        <v>1571890.9992621858</v>
      </c>
    </row>
    <row r="35" spans="1:33" s="53" customFormat="1" ht="12">
      <c r="A35" s="58"/>
      <c r="B35" s="70"/>
      <c r="C35" s="78" t="s">
        <v>489</v>
      </c>
      <c r="D35" s="209"/>
      <c r="E35" s="216"/>
      <c r="F35" s="279">
        <f>'FG Users'!C41</f>
        <v>0</v>
      </c>
      <c r="G35" s="279">
        <f>'FG Users'!D41</f>
        <v>0</v>
      </c>
      <c r="H35" s="279">
        <f>'FG Users'!E41</f>
        <v>0</v>
      </c>
      <c r="I35" s="279">
        <f>'FG Users'!F41</f>
        <v>0</v>
      </c>
      <c r="J35" s="279">
        <f>'FG Users'!G41</f>
        <v>-3375</v>
      </c>
      <c r="K35" s="279">
        <f>'FG Users'!H41</f>
        <v>-4608.125</v>
      </c>
      <c r="L35" s="279">
        <f>'FG Users'!I41</f>
        <v>-4654.2062500000002</v>
      </c>
      <c r="M35" s="279">
        <f>'FG Users'!J41</f>
        <v>-4700.7483125000008</v>
      </c>
      <c r="N35" s="279">
        <f>'FG Users'!K41</f>
        <v>-4747.7557956250002</v>
      </c>
      <c r="O35" s="279">
        <f>'FG Users'!L41</f>
        <v>-4795.2333535812495</v>
      </c>
      <c r="P35" s="279">
        <f>'FG Users'!M41</f>
        <v>-4843.185687117063</v>
      </c>
      <c r="Q35" s="279">
        <f>'FG Users'!N41</f>
        <v>-4891.6175439882345</v>
      </c>
      <c r="R35" s="279">
        <f>'FG Users'!O41</f>
        <v>-4940.5337194281165</v>
      </c>
      <c r="S35" s="279">
        <f>'FG Users'!P41</f>
        <v>-4989.9390566223974</v>
      </c>
      <c r="T35" s="279">
        <f>'FG Users'!Q41</f>
        <v>-5039.8384471886211</v>
      </c>
      <c r="U35" s="279">
        <f>'FG Users'!R41</f>
        <v>-5090.2368316605071</v>
      </c>
      <c r="V35" s="279">
        <f>'FG Users'!S41</f>
        <v>-5141.1391999771131</v>
      </c>
      <c r="W35" s="279">
        <f>'FG Users'!T41</f>
        <v>-5192.5505919768839</v>
      </c>
      <c r="X35" s="279">
        <f>'FG Users'!U41</f>
        <v>-5244.4760978966524</v>
      </c>
      <c r="Y35" s="279">
        <f>'FG Users'!V41</f>
        <v>-5296.9208588756192</v>
      </c>
      <c r="Z35" s="279">
        <f>'FG Users'!W41</f>
        <v>-5349.8900674643755</v>
      </c>
      <c r="AA35" s="279">
        <f>'FG Users'!X41</f>
        <v>-5403.3889681390192</v>
      </c>
      <c r="AB35" s="279">
        <f>'FG Users'!Y41</f>
        <v>-5457.4228578204093</v>
      </c>
      <c r="AC35" s="384">
        <f>'FG Users'!Z41</f>
        <v>-5511.9970863986136</v>
      </c>
      <c r="AD35" s="341">
        <f t="shared" si="0"/>
        <v>-99274.205726259854</v>
      </c>
    </row>
    <row r="36" spans="1:33" s="53" customFormat="1" ht="12">
      <c r="A36" s="58"/>
      <c r="B36" s="70"/>
      <c r="C36" s="78" t="s">
        <v>490</v>
      </c>
      <c r="D36" s="209"/>
      <c r="E36" s="216"/>
      <c r="F36" s="279">
        <f>'FG Users'!C42</f>
        <v>0</v>
      </c>
      <c r="G36" s="279">
        <f>'FG Users'!D42</f>
        <v>0</v>
      </c>
      <c r="H36" s="279">
        <f>'FG Users'!E42</f>
        <v>0</v>
      </c>
      <c r="I36" s="279">
        <f>'FG Users'!F42</f>
        <v>0</v>
      </c>
      <c r="J36" s="279">
        <f>'FG Users'!G42</f>
        <v>-34231.074068637303</v>
      </c>
      <c r="K36" s="279">
        <f>'FG Users'!H42</f>
        <v>-46874.866987226807</v>
      </c>
      <c r="L36" s="279">
        <f>'FG Users'!I42</f>
        <v>-47673.995632937229</v>
      </c>
      <c r="M36" s="279">
        <f>'FG Users'!J42</f>
        <v>-33381.798083210422</v>
      </c>
      <c r="N36" s="279">
        <f>'FG Users'!K42</f>
        <v>-48817.068484798176</v>
      </c>
      <c r="O36" s="279">
        <f>'FG Users'!L42</f>
        <v>-49161.077527267465</v>
      </c>
      <c r="P36" s="279">
        <f>'FG Users'!M42</f>
        <v>-49508.409998793701</v>
      </c>
      <c r="Q36" s="279">
        <f>'FG Users'!N42</f>
        <v>-49859.099133667434</v>
      </c>
      <c r="R36" s="279">
        <f>'FG Users'!O42</f>
        <v>-50213.178498522146</v>
      </c>
      <c r="S36" s="279">
        <f>'FG Users'!P42</f>
        <v>-50570.681995657651</v>
      </c>
      <c r="T36" s="279">
        <f>'FG Users'!Q42</f>
        <v>-50931.643866396749</v>
      </c>
      <c r="U36" s="279">
        <f>'FG Users'!R42</f>
        <v>-51296.098694475491</v>
      </c>
      <c r="V36" s="279">
        <f>'FG Users'!S42</f>
        <v>-51664.081409467268</v>
      </c>
      <c r="W36" s="279">
        <f>'FG Users'!T42</f>
        <v>-52035.627290241202</v>
      </c>
      <c r="X36" s="279">
        <f>'FG Users'!U42</f>
        <v>-52528.400558572328</v>
      </c>
      <c r="Y36" s="279">
        <f>'FG Users'!V42</f>
        <v>-52907.267951506255</v>
      </c>
      <c r="Z36" s="279">
        <f>'FG Users'!W42</f>
        <v>-53289.806477708713</v>
      </c>
      <c r="AA36" s="279">
        <f>'FG Users'!X42</f>
        <v>-53676.052848512365</v>
      </c>
      <c r="AB36" s="279">
        <f>'FG Users'!Y42</f>
        <v>-54066.044142363251</v>
      </c>
      <c r="AC36" s="384">
        <f>'FG Users'!Z42</f>
        <v>-54459.817808491847</v>
      </c>
      <c r="AD36" s="341">
        <f t="shared" si="0"/>
        <v>-987146.09145845391</v>
      </c>
    </row>
    <row r="37" spans="1:33" s="53" customFormat="1" ht="12">
      <c r="A37" s="58"/>
      <c r="B37" s="70"/>
      <c r="C37" s="78" t="s">
        <v>491</v>
      </c>
      <c r="D37" s="209"/>
      <c r="E37" s="216"/>
      <c r="F37" s="279">
        <f>'FG Users'!C43</f>
        <v>0</v>
      </c>
      <c r="G37" s="279">
        <f>'FG Users'!D43</f>
        <v>0</v>
      </c>
      <c r="H37" s="279">
        <f>'FG Users'!E43</f>
        <v>0</v>
      </c>
      <c r="I37" s="279">
        <f>'FG Users'!F43</f>
        <v>0</v>
      </c>
      <c r="J37" s="279">
        <f>'FG Users'!G43</f>
        <v>-190709.48144614245</v>
      </c>
      <c r="K37" s="279">
        <f>'FG Users'!H43</f>
        <v>-261278.09791697425</v>
      </c>
      <c r="L37" s="279">
        <f>'FG Users'!I43</f>
        <v>-266038.34873909201</v>
      </c>
      <c r="M37" s="279">
        <f>'FG Users'!J43</f>
        <v>-172700.63843711774</v>
      </c>
      <c r="N37" s="279">
        <f>'FG Users'!K43</f>
        <v>-272587.08555640065</v>
      </c>
      <c r="O37" s="279">
        <f>'FG Users'!L43</f>
        <v>-274375.90573650313</v>
      </c>
      <c r="P37" s="279">
        <f>'FG Users'!M43</f>
        <v>-276181.85581951629</v>
      </c>
      <c r="Q37" s="279">
        <f>'FG Users'!N43</f>
        <v>-278005.10710446915</v>
      </c>
      <c r="R37" s="279">
        <f>'FG Users'!O43</f>
        <v>-279845.83260338107</v>
      </c>
      <c r="S37" s="279">
        <f>'FG Users'!P43</f>
        <v>-281704.20705839177</v>
      </c>
      <c r="T37" s="279">
        <f>'FG Users'!Q43</f>
        <v>-283580.40695906203</v>
      </c>
      <c r="U37" s="279">
        <f>'FG Users'!R43</f>
        <v>-285474.61055984872</v>
      </c>
      <c r="V37" s="279">
        <f>'FG Users'!S43</f>
        <v>-287386.99789775291</v>
      </c>
      <c r="W37" s="279">
        <f>'FG Users'!T43</f>
        <v>-289317.75081014558</v>
      </c>
      <c r="X37" s="279">
        <f>'FG Users'!U43</f>
        <v>-292031.63878853369</v>
      </c>
      <c r="Y37" s="279">
        <f>'FG Users'!V43</f>
        <v>-294000.2471941823</v>
      </c>
      <c r="Z37" s="279">
        <f>'FG Users'!W43</f>
        <v>-295987.77766959224</v>
      </c>
      <c r="AA37" s="279">
        <f>'FG Users'!X43</f>
        <v>-297994.41943546088</v>
      </c>
      <c r="AB37" s="279">
        <f>'FG Users'!Y43</f>
        <v>-300020.36360469286</v>
      </c>
      <c r="AC37" s="384">
        <f>'FG Users'!Z43</f>
        <v>-302065.80320132209</v>
      </c>
      <c r="AD37" s="341">
        <f t="shared" si="0"/>
        <v>-5481286.5765385814</v>
      </c>
    </row>
    <row r="38" spans="1:33" s="53" customFormat="1" ht="12">
      <c r="A38" s="58"/>
      <c r="B38" s="70"/>
      <c r="C38" s="54" t="s">
        <v>492</v>
      </c>
      <c r="D38" s="209"/>
      <c r="E38" s="216"/>
      <c r="F38" s="280">
        <f>'FG Users'!C44</f>
        <v>0</v>
      </c>
      <c r="G38" s="280">
        <f>'FG Users'!D44</f>
        <v>0</v>
      </c>
      <c r="H38" s="280">
        <f>'FG Users'!E44</f>
        <v>0</v>
      </c>
      <c r="I38" s="280">
        <f>'FG Users'!F44</f>
        <v>0</v>
      </c>
      <c r="J38" s="280">
        <f>'FG Users'!G44</f>
        <v>30769.601426337726</v>
      </c>
      <c r="K38" s="280">
        <f>'FG Users'!H44</f>
        <v>41283.847085231464</v>
      </c>
      <c r="L38" s="280">
        <f>'FG Users'!I44</f>
        <v>41184.577965370059</v>
      </c>
      <c r="M38" s="280">
        <f>'FG Users'!J44</f>
        <v>26204.492107440168</v>
      </c>
      <c r="N38" s="280">
        <f>'FG Users'!K44</f>
        <v>41338.72138342449</v>
      </c>
      <c r="O38" s="280">
        <f>'FG Users'!L44</f>
        <v>41587.979016756137</v>
      </c>
      <c r="P38" s="280">
        <f>'FG Users'!M44</f>
        <v>41839.567999438332</v>
      </c>
      <c r="Q38" s="280">
        <f>'FG Users'!N44</f>
        <v>42093.510570521503</v>
      </c>
      <c r="R38" s="280">
        <f>'FG Users'!O44</f>
        <v>42349.829181280635</v>
      </c>
      <c r="S38" s="280">
        <f>'FG Users'!P44</f>
        <v>42608.546497245814</v>
      </c>
      <c r="T38" s="280">
        <f>'FG Users'!Q44</f>
        <v>42869.685400252114</v>
      </c>
      <c r="U38" s="280">
        <f>'FG Users'!R44</f>
        <v>43133.268990509379</v>
      </c>
      <c r="V38" s="280">
        <f>'FG Users'!S44</f>
        <v>43399.320588691546</v>
      </c>
      <c r="W38" s="280">
        <f>'FG Users'!T44</f>
        <v>43667.863738046173</v>
      </c>
      <c r="X38" s="280">
        <f>'FG Users'!U44</f>
        <v>44054.263358972436</v>
      </c>
      <c r="Y38" s="280">
        <f>'FG Users'!V44</f>
        <v>44327.886590564129</v>
      </c>
      <c r="Z38" s="280">
        <f>'FG Users'!W44</f>
        <v>44604.073333129716</v>
      </c>
      <c r="AA38" s="280">
        <f>'FG Users'!X44</f>
        <v>44882.848041756093</v>
      </c>
      <c r="AB38" s="280">
        <f>'FG Users'!Y44</f>
        <v>45164.235404958505</v>
      </c>
      <c r="AC38" s="385">
        <f>'FG Users'!Z44</f>
        <v>45448.260346914358</v>
      </c>
      <c r="AD38" s="342">
        <f t="shared" si="0"/>
        <v>832812.37902684091</v>
      </c>
    </row>
    <row r="39" spans="1:33" s="53" customFormat="1" ht="12">
      <c r="A39" s="58"/>
      <c r="B39" s="70"/>
      <c r="C39" s="66"/>
      <c r="D39" s="209"/>
      <c r="E39" s="216"/>
      <c r="H39" s="59"/>
      <c r="I39" s="59"/>
      <c r="J39" s="59"/>
      <c r="K39" s="59"/>
      <c r="L39" s="59"/>
      <c r="M39" s="59"/>
      <c r="N39" s="59"/>
      <c r="O39" s="59"/>
      <c r="P39" s="59"/>
      <c r="Q39" s="59"/>
      <c r="R39" s="59"/>
      <c r="S39" s="59"/>
      <c r="T39" s="59"/>
      <c r="U39" s="59"/>
      <c r="V39" s="59"/>
      <c r="W39" s="59"/>
      <c r="X39" s="59"/>
      <c r="Y39" s="59"/>
      <c r="AC39" s="263"/>
      <c r="AD39" s="338"/>
    </row>
    <row r="40" spans="1:33" s="53" customFormat="1" ht="12">
      <c r="A40" s="58" t="s">
        <v>230</v>
      </c>
      <c r="B40" s="58"/>
      <c r="D40" s="209"/>
      <c r="E40" s="216"/>
      <c r="H40" s="59"/>
      <c r="I40" s="59"/>
      <c r="J40" s="59"/>
      <c r="K40" s="59"/>
      <c r="L40" s="59"/>
      <c r="M40" s="59"/>
      <c r="N40" s="59"/>
      <c r="O40" s="59"/>
      <c r="P40" s="59"/>
      <c r="Q40" s="59"/>
      <c r="R40" s="59"/>
      <c r="S40" s="59"/>
      <c r="T40" s="59"/>
      <c r="U40" s="59"/>
      <c r="V40" s="59"/>
      <c r="W40" s="59"/>
      <c r="X40" s="59"/>
      <c r="Y40" s="59"/>
      <c r="AC40" s="263"/>
      <c r="AD40" s="338"/>
    </row>
    <row r="41" spans="1:33" s="53" customFormat="1" ht="12">
      <c r="A41" s="58"/>
      <c r="B41" s="5" t="s">
        <v>353</v>
      </c>
      <c r="D41" s="209"/>
      <c r="E41" s="216"/>
      <c r="H41" s="59"/>
      <c r="I41" s="59"/>
      <c r="J41" s="59"/>
      <c r="K41" s="59"/>
      <c r="L41" s="59"/>
      <c r="M41" s="59"/>
      <c r="N41" s="59"/>
      <c r="O41" s="59"/>
      <c r="P41" s="59"/>
      <c r="Q41" s="59"/>
      <c r="R41" s="59"/>
      <c r="S41" s="59"/>
      <c r="T41" s="59"/>
      <c r="U41" s="59"/>
      <c r="V41" s="59"/>
      <c r="W41" s="59"/>
      <c r="X41" s="59"/>
      <c r="Y41" s="59"/>
      <c r="AC41" s="263"/>
      <c r="AD41" s="338"/>
    </row>
    <row r="42" spans="1:33" s="53" customFormat="1" ht="12">
      <c r="A42" s="58"/>
      <c r="B42" s="70" t="s">
        <v>354</v>
      </c>
      <c r="C42" s="70" t="s">
        <v>350</v>
      </c>
      <c r="D42" s="209"/>
      <c r="E42" s="216"/>
      <c r="F42" s="103">
        <f>'FG Users'!C34</f>
        <v>0</v>
      </c>
      <c r="G42" s="103">
        <f>'FG Users'!D34</f>
        <v>0</v>
      </c>
      <c r="H42" s="103">
        <f>'FG Users'!E34</f>
        <v>22264875</v>
      </c>
      <c r="I42" s="103">
        <f>'FG Users'!F34</f>
        <v>14843250</v>
      </c>
      <c r="J42" s="103">
        <f>'FG Users'!G34</f>
        <v>0</v>
      </c>
      <c r="K42" s="103">
        <f>'FG Users'!H34</f>
        <v>0</v>
      </c>
      <c r="L42" s="103">
        <f>'FG Users'!I34</f>
        <v>0</v>
      </c>
      <c r="M42" s="103">
        <f>'FG Users'!J34</f>
        <v>0</v>
      </c>
      <c r="N42" s="103">
        <f>'FG Users'!K34</f>
        <v>0</v>
      </c>
      <c r="O42" s="103">
        <f>'FG Users'!L34</f>
        <v>0</v>
      </c>
      <c r="P42" s="103">
        <f>'FG Users'!M34</f>
        <v>0</v>
      </c>
      <c r="Q42" s="103">
        <f>'FG Users'!N34</f>
        <v>0</v>
      </c>
      <c r="R42" s="103">
        <f>'FG Users'!O34</f>
        <v>0</v>
      </c>
      <c r="S42" s="103">
        <f>'FG Users'!P34</f>
        <v>0</v>
      </c>
      <c r="T42" s="103">
        <f>'FG Users'!Q34</f>
        <v>0</v>
      </c>
      <c r="U42" s="103">
        <f>'FG Users'!R34</f>
        <v>0</v>
      </c>
      <c r="V42" s="103">
        <f>'FG Users'!S34</f>
        <v>0</v>
      </c>
      <c r="W42" s="103">
        <f>'FG Users'!T34</f>
        <v>0</v>
      </c>
      <c r="X42" s="103">
        <f>'FG Users'!U34</f>
        <v>0</v>
      </c>
      <c r="Y42" s="103">
        <f>'FG Users'!V34</f>
        <v>0</v>
      </c>
      <c r="Z42" s="103">
        <f>'FG Users'!W34</f>
        <v>0</v>
      </c>
      <c r="AA42" s="103">
        <f>'FG Users'!X34</f>
        <v>0</v>
      </c>
      <c r="AB42" s="103">
        <f>'FG Users'!Y34</f>
        <v>0</v>
      </c>
      <c r="AC42" s="267">
        <f>'FG Users'!Z34</f>
        <v>0</v>
      </c>
      <c r="AD42" s="343">
        <f t="shared" si="0"/>
        <v>37108125</v>
      </c>
    </row>
    <row r="43" spans="1:33" s="53" customFormat="1" ht="12">
      <c r="A43" s="58"/>
      <c r="B43" s="70" t="s">
        <v>355</v>
      </c>
      <c r="C43" s="70" t="s">
        <v>513</v>
      </c>
      <c r="D43" s="209"/>
      <c r="E43" s="216"/>
      <c r="F43" s="279">
        <f>'FG Users'!C36</f>
        <v>0</v>
      </c>
      <c r="G43" s="279">
        <f>'FG Users'!D36</f>
        <v>0</v>
      </c>
      <c r="H43" s="279">
        <f>'FG Users'!E36</f>
        <v>0</v>
      </c>
      <c r="I43" s="279">
        <f>'FG Users'!F36</f>
        <v>0</v>
      </c>
      <c r="J43" s="279">
        <f>'FG Users'!G36</f>
        <v>-17115.537034318651</v>
      </c>
      <c r="K43" s="279">
        <f>'FG Users'!H36</f>
        <v>-23437.433493613404</v>
      </c>
      <c r="L43" s="279">
        <f>'FG Users'!I36</f>
        <v>-23836.997816468614</v>
      </c>
      <c r="M43" s="279">
        <f>'FG Users'!J36</f>
        <v>-16690.899041605211</v>
      </c>
      <c r="N43" s="279">
        <f>'FG Users'!K36</f>
        <v>-24408.534242399088</v>
      </c>
      <c r="O43" s="279">
        <f>'FG Users'!L36</f>
        <v>-24580.538763633733</v>
      </c>
      <c r="P43" s="279">
        <f>'FG Users'!M36</f>
        <v>-24754.20499939685</v>
      </c>
      <c r="Q43" s="279">
        <f>'FG Users'!N36</f>
        <v>-24929.549566833717</v>
      </c>
      <c r="R43" s="279">
        <f>'FG Users'!O36</f>
        <v>-25106.589249261073</v>
      </c>
      <c r="S43" s="279">
        <f>'FG Users'!P36</f>
        <v>-25285.340997828825</v>
      </c>
      <c r="T43" s="279">
        <f>'FG Users'!Q36</f>
        <v>-25465.821933198375</v>
      </c>
      <c r="U43" s="279">
        <f>'FG Users'!R36</f>
        <v>-25648.049347237746</v>
      </c>
      <c r="V43" s="279">
        <f>'FG Users'!S36</f>
        <v>-25832.040704733634</v>
      </c>
      <c r="W43" s="279">
        <f>'FG Users'!T36</f>
        <v>-26017.813645120601</v>
      </c>
      <c r="X43" s="279">
        <f>'FG Users'!U36</f>
        <v>-26264.200279286164</v>
      </c>
      <c r="Y43" s="279">
        <f>'FG Users'!V36</f>
        <v>-26453.633975753128</v>
      </c>
      <c r="Z43" s="279">
        <f>'FG Users'!W36</f>
        <v>-26644.903238854356</v>
      </c>
      <c r="AA43" s="279">
        <f>'FG Users'!X36</f>
        <v>-26838.026424256183</v>
      </c>
      <c r="AB43" s="279">
        <f>'FG Users'!Y36</f>
        <v>-27033.022071181626</v>
      </c>
      <c r="AC43" s="384">
        <f>'FG Users'!Z36</f>
        <v>-27229.908904245924</v>
      </c>
      <c r="AD43" s="341">
        <f t="shared" si="0"/>
        <v>-493573.04572922696</v>
      </c>
    </row>
    <row r="44" spans="1:33" s="53" customFormat="1" ht="12">
      <c r="A44" s="58"/>
      <c r="B44" s="70"/>
      <c r="C44" s="70" t="s">
        <v>652</v>
      </c>
      <c r="D44" s="209"/>
      <c r="E44" s="216"/>
      <c r="F44" s="103">
        <f>'FG Users'!C37</f>
        <v>0</v>
      </c>
      <c r="G44" s="103">
        <f>'FG Users'!D37</f>
        <v>0</v>
      </c>
      <c r="H44" s="103">
        <f>'FG Users'!E37</f>
        <v>0</v>
      </c>
      <c r="I44" s="103">
        <f>'FG Users'!F37</f>
        <v>0</v>
      </c>
      <c r="J44" s="103">
        <f>'FG Users'!G37</f>
        <v>30081696.962965682</v>
      </c>
      <c r="K44" s="103">
        <f>'FG Users'!H37</f>
        <v>30075375.066506386</v>
      </c>
      <c r="L44" s="103">
        <f>'FG Users'!I37</f>
        <v>30074975.50218353</v>
      </c>
      <c r="M44" s="103">
        <f>'FG Users'!J37</f>
        <v>30082121.600958396</v>
      </c>
      <c r="N44" s="103">
        <f>'FG Users'!K37</f>
        <v>30074403.965757601</v>
      </c>
      <c r="O44" s="103">
        <f>'FG Users'!L37</f>
        <v>30074231.961236365</v>
      </c>
      <c r="P44" s="103">
        <f>'FG Users'!M37</f>
        <v>30074058.295000602</v>
      </c>
      <c r="Q44" s="103">
        <f>'FG Users'!N37</f>
        <v>30073882.950433165</v>
      </c>
      <c r="R44" s="103">
        <f>'FG Users'!O37</f>
        <v>30073705.910750739</v>
      </c>
      <c r="S44" s="103">
        <f>'FG Users'!P37</f>
        <v>30073527.15900217</v>
      </c>
      <c r="T44" s="103">
        <f>'FG Users'!Q37</f>
        <v>30073346.678066801</v>
      </c>
      <c r="U44" s="103">
        <f>'FG Users'!R37</f>
        <v>30073164.450652763</v>
      </c>
      <c r="V44" s="103">
        <f>'FG Users'!S37</f>
        <v>30072980.459295265</v>
      </c>
      <c r="W44" s="103">
        <f>'FG Users'!T37</f>
        <v>30072794.686354879</v>
      </c>
      <c r="X44" s="103">
        <f>'FG Users'!U37</f>
        <v>30072548.299720712</v>
      </c>
      <c r="Y44" s="103">
        <f>'FG Users'!V37</f>
        <v>30072358.866024248</v>
      </c>
      <c r="Z44" s="103">
        <f>'FG Users'!W37</f>
        <v>30072167.596761145</v>
      </c>
      <c r="AA44" s="103">
        <f>'FG Users'!X37</f>
        <v>30071974.473575745</v>
      </c>
      <c r="AB44" s="103">
        <f>'FG Users'!Y37</f>
        <v>30071779.477928817</v>
      </c>
      <c r="AC44" s="267">
        <f>'FG Users'!Z37</f>
        <v>30071582.591095753</v>
      </c>
      <c r="AD44" s="343">
        <f t="shared" si="0"/>
        <v>601482676.95427096</v>
      </c>
    </row>
    <row r="45" spans="1:33" s="53" customFormat="1" ht="12">
      <c r="A45" s="58"/>
      <c r="B45" s="58"/>
      <c r="D45" s="209"/>
      <c r="E45" s="216"/>
      <c r="AC45" s="263"/>
      <c r="AD45" s="338"/>
    </row>
    <row r="46" spans="1:33" s="53" customFormat="1" ht="12">
      <c r="A46" s="58"/>
      <c r="B46" s="58"/>
      <c r="D46" s="209"/>
      <c r="E46" s="216"/>
      <c r="H46" s="59"/>
      <c r="I46" s="59"/>
      <c r="J46" s="59"/>
      <c r="K46" s="59"/>
      <c r="L46" s="59"/>
      <c r="M46" s="59"/>
      <c r="N46" s="59"/>
      <c r="O46" s="59"/>
      <c r="P46" s="59"/>
      <c r="Q46" s="59"/>
      <c r="R46" s="59"/>
      <c r="S46" s="59"/>
      <c r="T46" s="59"/>
      <c r="U46" s="59"/>
      <c r="V46" s="59"/>
      <c r="W46" s="59"/>
      <c r="X46" s="59"/>
      <c r="Y46" s="59"/>
      <c r="AC46" s="263"/>
      <c r="AD46" s="338"/>
    </row>
    <row r="47" spans="1:33" s="53" customFormat="1" ht="12">
      <c r="A47" s="58" t="s">
        <v>348</v>
      </c>
      <c r="B47" s="58"/>
      <c r="D47" s="209"/>
      <c r="E47" s="216"/>
      <c r="H47" s="59"/>
      <c r="I47" s="59"/>
      <c r="J47" s="59"/>
      <c r="K47" s="59"/>
      <c r="L47" s="59"/>
      <c r="M47" s="59"/>
      <c r="N47" s="59"/>
      <c r="O47" s="59"/>
      <c r="P47" s="59"/>
      <c r="Q47" s="59"/>
      <c r="R47" s="59"/>
      <c r="S47" s="59"/>
      <c r="T47" s="59"/>
      <c r="U47" s="59"/>
      <c r="V47" s="59"/>
      <c r="W47" s="59"/>
      <c r="X47" s="59"/>
      <c r="Y47" s="59"/>
      <c r="AC47" s="263"/>
      <c r="AD47" s="338"/>
    </row>
    <row r="48" spans="1:33" s="53" customFormat="1" ht="12">
      <c r="A48" s="58"/>
      <c r="B48" s="58"/>
      <c r="C48" s="197" t="s">
        <v>349</v>
      </c>
      <c r="D48" s="209"/>
      <c r="E48" s="216"/>
      <c r="H48" s="59"/>
      <c r="I48" s="59"/>
      <c r="J48" s="59"/>
      <c r="K48" s="59"/>
      <c r="L48" s="59"/>
      <c r="M48" s="59"/>
      <c r="N48" s="59"/>
      <c r="O48" s="59"/>
      <c r="P48" s="59"/>
      <c r="Q48" s="59"/>
      <c r="R48" s="59"/>
      <c r="S48" s="59"/>
      <c r="T48" s="59"/>
      <c r="U48" s="59"/>
      <c r="V48" s="59"/>
      <c r="W48" s="59"/>
      <c r="X48" s="59"/>
      <c r="Y48" s="59"/>
      <c r="AC48" s="263"/>
      <c r="AD48" s="338"/>
    </row>
    <row r="49" spans="1:30" s="53" customFormat="1" ht="12">
      <c r="A49" s="58"/>
      <c r="B49" s="58"/>
      <c r="D49" s="209"/>
      <c r="E49" s="216"/>
      <c r="H49" s="59"/>
      <c r="I49" s="59"/>
      <c r="J49" s="59"/>
      <c r="K49" s="59"/>
      <c r="L49" s="59"/>
      <c r="M49" s="59"/>
      <c r="N49" s="59"/>
      <c r="O49" s="59"/>
      <c r="P49" s="59"/>
      <c r="Q49" s="59"/>
      <c r="R49" s="59"/>
      <c r="S49" s="59"/>
      <c r="T49" s="59"/>
      <c r="U49" s="59"/>
      <c r="V49" s="59"/>
      <c r="W49" s="59"/>
      <c r="X49" s="59"/>
      <c r="Y49" s="59"/>
      <c r="AC49" s="263"/>
      <c r="AD49" s="338"/>
    </row>
    <row r="50" spans="1:30" s="53" customFormat="1" ht="12">
      <c r="A50" s="58"/>
      <c r="B50" s="58"/>
      <c r="D50" s="209"/>
      <c r="E50" s="216"/>
      <c r="H50" s="59"/>
      <c r="I50" s="59"/>
      <c r="J50" s="59"/>
      <c r="K50" s="59"/>
      <c r="L50" s="59"/>
      <c r="M50" s="59"/>
      <c r="N50" s="59"/>
      <c r="O50" s="59"/>
      <c r="P50" s="59"/>
      <c r="Q50" s="59"/>
      <c r="R50" s="59"/>
      <c r="S50" s="59"/>
      <c r="T50" s="59"/>
      <c r="U50" s="59"/>
      <c r="V50" s="59"/>
      <c r="W50" s="59"/>
      <c r="X50" s="59"/>
      <c r="Y50" s="59"/>
      <c r="AC50" s="263"/>
      <c r="AD50" s="338"/>
    </row>
    <row r="51" spans="1:30" s="53" customFormat="1" ht="12">
      <c r="A51" s="58"/>
      <c r="B51" s="58"/>
      <c r="C51" s="45"/>
      <c r="D51" s="210"/>
      <c r="E51" s="216"/>
      <c r="F51" s="59"/>
      <c r="G51" s="59"/>
      <c r="H51" s="59"/>
      <c r="I51" s="59"/>
      <c r="J51" s="59"/>
      <c r="K51" s="59"/>
      <c r="L51" s="59"/>
      <c r="M51" s="59"/>
      <c r="N51" s="59"/>
      <c r="O51" s="59"/>
      <c r="P51" s="59"/>
      <c r="Q51" s="59"/>
      <c r="R51" s="59"/>
      <c r="S51" s="59"/>
      <c r="T51" s="59"/>
      <c r="U51" s="59"/>
      <c r="V51" s="59"/>
      <c r="W51" s="59"/>
      <c r="X51" s="59"/>
      <c r="Y51" s="59"/>
      <c r="AC51" s="263"/>
      <c r="AD51" s="338"/>
    </row>
    <row r="52" spans="1:30" s="53" customFormat="1" ht="12">
      <c r="A52" s="44" t="s">
        <v>346</v>
      </c>
      <c r="B52" s="44"/>
      <c r="C52" s="45"/>
      <c r="D52" s="210"/>
      <c r="E52" s="217"/>
      <c r="F52" s="45"/>
      <c r="G52" s="59"/>
      <c r="H52" s="59"/>
      <c r="I52" s="59"/>
      <c r="J52" s="59"/>
      <c r="K52" s="59"/>
      <c r="L52" s="59"/>
      <c r="M52" s="59"/>
      <c r="N52" s="59"/>
      <c r="O52" s="59"/>
      <c r="P52" s="59"/>
      <c r="Q52" s="59"/>
      <c r="R52" s="59"/>
      <c r="S52" s="59"/>
      <c r="T52" s="59"/>
      <c r="U52" s="59"/>
      <c r="V52" s="59"/>
      <c r="W52" s="59"/>
      <c r="X52" s="59"/>
      <c r="Y52" s="59"/>
      <c r="AC52" s="263"/>
      <c r="AD52" s="338"/>
    </row>
    <row r="53" spans="1:30" s="53" customFormat="1" ht="12">
      <c r="A53" s="44"/>
      <c r="B53" s="44"/>
      <c r="C53" s="45"/>
      <c r="D53" s="210"/>
      <c r="E53" s="217"/>
      <c r="F53" s="45"/>
      <c r="G53" s="59"/>
      <c r="H53" s="59"/>
      <c r="I53" s="59"/>
      <c r="J53" s="59"/>
      <c r="K53" s="59"/>
      <c r="L53" s="59"/>
      <c r="M53" s="59"/>
      <c r="N53" s="59"/>
      <c r="O53" s="59"/>
      <c r="P53" s="59"/>
      <c r="Q53" s="59"/>
      <c r="R53" s="59"/>
      <c r="S53" s="59"/>
      <c r="T53" s="59"/>
      <c r="U53" s="59"/>
      <c r="V53" s="59"/>
      <c r="W53" s="59"/>
      <c r="X53" s="59"/>
      <c r="Y53" s="59"/>
      <c r="AC53" s="263"/>
      <c r="AD53" s="338"/>
    </row>
    <row r="54" spans="1:30" s="53" customFormat="1" ht="12">
      <c r="A54" s="44"/>
      <c r="B54" s="5" t="s">
        <v>351</v>
      </c>
      <c r="C54" s="45"/>
      <c r="D54" s="210"/>
      <c r="E54" s="217"/>
      <c r="F54" s="45"/>
      <c r="G54" s="59"/>
      <c r="H54" s="59"/>
      <c r="I54" s="59"/>
      <c r="J54" s="59"/>
      <c r="K54" s="59"/>
      <c r="L54" s="59"/>
      <c r="M54" s="59"/>
      <c r="N54" s="59"/>
      <c r="O54" s="59"/>
      <c r="P54" s="59"/>
      <c r="Q54" s="59"/>
      <c r="R54" s="59"/>
      <c r="S54" s="59"/>
      <c r="T54" s="59"/>
      <c r="U54" s="59"/>
      <c r="V54" s="59"/>
      <c r="W54" s="59"/>
      <c r="X54" s="59"/>
      <c r="Y54" s="59"/>
      <c r="AC54" s="263"/>
      <c r="AD54" s="338"/>
    </row>
    <row r="55" spans="1:30" s="53" customFormat="1" ht="12">
      <c r="A55" s="44"/>
      <c r="B55" s="250" t="s">
        <v>447</v>
      </c>
      <c r="C55" s="70" t="s">
        <v>350</v>
      </c>
      <c r="D55" s="210"/>
      <c r="E55" s="217"/>
      <c r="F55" s="45"/>
      <c r="G55" s="59"/>
      <c r="H55" s="59"/>
      <c r="I55" s="59"/>
      <c r="J55" s="59"/>
      <c r="K55" s="59"/>
      <c r="L55" s="59"/>
      <c r="M55" s="59"/>
      <c r="N55" s="59"/>
      <c r="O55" s="59"/>
      <c r="P55" s="59"/>
      <c r="Q55" s="59"/>
      <c r="R55" s="59"/>
      <c r="S55" s="59"/>
      <c r="T55" s="59"/>
      <c r="U55" s="59"/>
      <c r="V55" s="59"/>
      <c r="W55" s="59"/>
      <c r="X55" s="59"/>
      <c r="Y55" s="59"/>
      <c r="AC55" s="263"/>
      <c r="AD55" s="338"/>
    </row>
    <row r="56" spans="1:30" s="53" customFormat="1" ht="12">
      <c r="A56" s="44"/>
      <c r="C56" s="63" t="s">
        <v>131</v>
      </c>
      <c r="D56" s="210"/>
      <c r="E56" s="217"/>
      <c r="F56" s="45"/>
      <c r="G56" s="59"/>
      <c r="H56" s="59"/>
      <c r="I56" s="59"/>
      <c r="J56" s="59"/>
      <c r="K56" s="59"/>
      <c r="L56" s="59"/>
      <c r="M56" s="59"/>
      <c r="N56" s="59"/>
      <c r="O56" s="59"/>
      <c r="P56" s="59"/>
      <c r="Q56" s="59"/>
      <c r="R56" s="59"/>
      <c r="S56" s="59"/>
      <c r="T56" s="59"/>
      <c r="U56" s="59"/>
      <c r="V56" s="59"/>
      <c r="W56" s="59"/>
      <c r="X56" s="59"/>
      <c r="Y56" s="59"/>
      <c r="AC56" s="263"/>
      <c r="AD56" s="338"/>
    </row>
    <row r="57" spans="1:30" s="53" customFormat="1" ht="12">
      <c r="A57" s="44"/>
      <c r="C57" s="226" t="s">
        <v>412</v>
      </c>
      <c r="D57" s="247">
        <f>(71+48)/3600</f>
        <v>3.3055555555555553E-2</v>
      </c>
      <c r="E57" s="217"/>
      <c r="F57" s="45"/>
      <c r="G57" s="59"/>
      <c r="H57" s="59"/>
      <c r="I57" s="59"/>
      <c r="J57" s="59"/>
      <c r="K57" s="59"/>
      <c r="L57" s="59"/>
      <c r="M57" s="59"/>
      <c r="N57" s="59"/>
      <c r="O57" s="59"/>
      <c r="P57" s="59"/>
      <c r="Q57" s="59"/>
      <c r="R57" s="59"/>
      <c r="S57" s="59"/>
      <c r="T57" s="59"/>
      <c r="U57" s="59"/>
      <c r="V57" s="59"/>
      <c r="W57" s="59"/>
      <c r="X57" s="59"/>
      <c r="Y57" s="59"/>
      <c r="AC57" s="263"/>
      <c r="AD57" s="338"/>
    </row>
    <row r="58" spans="1:30" s="53" customFormat="1" ht="12">
      <c r="A58" s="44"/>
      <c r="C58" s="224" t="s">
        <v>403</v>
      </c>
      <c r="D58" s="253">
        <f>'Price Assumptions'!B7</f>
        <v>23.9</v>
      </c>
      <c r="E58" s="217"/>
      <c r="F58" s="45"/>
      <c r="G58" s="59"/>
      <c r="H58" s="59"/>
      <c r="I58" s="59"/>
      <c r="J58" s="59"/>
      <c r="K58" s="59"/>
      <c r="L58" s="59"/>
      <c r="M58" s="59"/>
      <c r="N58" s="59"/>
      <c r="O58" s="59"/>
      <c r="P58" s="59"/>
      <c r="Q58" s="59"/>
      <c r="R58" s="59"/>
      <c r="S58" s="59"/>
      <c r="T58" s="59"/>
      <c r="U58" s="59"/>
      <c r="V58" s="59"/>
      <c r="W58" s="59"/>
      <c r="X58" s="59"/>
      <c r="Y58" s="59"/>
      <c r="AC58" s="263"/>
      <c r="AD58" s="338"/>
    </row>
    <row r="59" spans="1:30" s="53" customFormat="1" ht="12">
      <c r="A59" s="44"/>
      <c r="C59" s="62" t="s">
        <v>413</v>
      </c>
      <c r="D59" s="253"/>
      <c r="E59" s="217"/>
      <c r="F59" s="285">
        <v>0</v>
      </c>
      <c r="G59" s="285">
        <v>0</v>
      </c>
      <c r="H59" s="285">
        <v>0</v>
      </c>
      <c r="I59" s="316">
        <v>0</v>
      </c>
      <c r="J59" s="316">
        <f t="shared" ref="J59:AC59" si="1">$D$58*$D$57*J10</f>
        <v>156923.18677040376</v>
      </c>
      <c r="K59" s="316">
        <f t="shared" si="1"/>
        <v>216281.9033673396</v>
      </c>
      <c r="L59" s="316">
        <f t="shared" si="1"/>
        <v>223332.89104080759</v>
      </c>
      <c r="M59" s="316">
        <f t="shared" si="1"/>
        <v>7050.9876734679374</v>
      </c>
      <c r="N59" s="316">
        <f t="shared" si="1"/>
        <v>230556.48616056237</v>
      </c>
      <c r="O59" s="316">
        <f t="shared" si="1"/>
        <v>230729.09360684926</v>
      </c>
      <c r="P59" s="316">
        <f t="shared" si="1"/>
        <v>230901.70105313612</v>
      </c>
      <c r="Q59" s="316">
        <f t="shared" si="1"/>
        <v>231074.30849942294</v>
      </c>
      <c r="R59" s="316">
        <f t="shared" si="1"/>
        <v>231246.9159457098</v>
      </c>
      <c r="S59" s="316">
        <f t="shared" si="1"/>
        <v>231419.52339199668</v>
      </c>
      <c r="T59" s="316">
        <f t="shared" si="1"/>
        <v>231592.13083828354</v>
      </c>
      <c r="U59" s="316">
        <f t="shared" si="1"/>
        <v>231764.7382845704</v>
      </c>
      <c r="V59" s="316">
        <f t="shared" si="1"/>
        <v>231937.34573085728</v>
      </c>
      <c r="W59" s="316">
        <f t="shared" si="1"/>
        <v>232109.95317714414</v>
      </c>
      <c r="X59" s="316">
        <f t="shared" si="1"/>
        <v>234022.94571758047</v>
      </c>
      <c r="Y59" s="316">
        <f t="shared" si="1"/>
        <v>234196.8541303474</v>
      </c>
      <c r="Z59" s="316">
        <f t="shared" si="1"/>
        <v>234370.76254311437</v>
      </c>
      <c r="AA59" s="316">
        <f t="shared" si="1"/>
        <v>234544.67095588124</v>
      </c>
      <c r="AB59" s="316">
        <f t="shared" si="1"/>
        <v>234718.57936864815</v>
      </c>
      <c r="AC59" s="317">
        <f t="shared" si="1"/>
        <v>234892.48778141511</v>
      </c>
      <c r="AD59" s="344">
        <f t="shared" si="0"/>
        <v>4323667.4660375379</v>
      </c>
    </row>
    <row r="60" spans="1:30" s="53" customFormat="1" ht="12">
      <c r="A60" s="44"/>
      <c r="B60" s="44"/>
      <c r="D60" s="253"/>
      <c r="E60" s="217"/>
      <c r="G60" s="59"/>
      <c r="H60" s="59"/>
      <c r="I60" s="59"/>
      <c r="J60" s="59"/>
      <c r="K60" s="59"/>
      <c r="L60" s="59"/>
      <c r="M60" s="59"/>
      <c r="N60" s="59"/>
      <c r="O60" s="59"/>
      <c r="P60" s="59"/>
      <c r="Q60" s="59"/>
      <c r="R60" s="59"/>
      <c r="S60" s="59"/>
      <c r="T60" s="59"/>
      <c r="U60" s="59"/>
      <c r="V60" s="59"/>
      <c r="W60" s="59"/>
      <c r="X60" s="59"/>
      <c r="Y60" s="59"/>
      <c r="AC60" s="263"/>
      <c r="AD60" s="338"/>
    </row>
    <row r="61" spans="1:30" s="53" customFormat="1" ht="12">
      <c r="A61" s="44"/>
      <c r="B61" s="250" t="s">
        <v>446</v>
      </c>
      <c r="C61" s="54" t="s">
        <v>409</v>
      </c>
      <c r="D61" s="253"/>
      <c r="E61" s="217"/>
      <c r="F61" s="45">
        <f>F11</f>
        <v>0</v>
      </c>
      <c r="G61" s="45">
        <f t="shared" ref="G61:AC61" si="2">G11</f>
        <v>0</v>
      </c>
      <c r="H61" s="45">
        <f t="shared" si="2"/>
        <v>0</v>
      </c>
      <c r="I61" s="102">
        <f t="shared" si="2"/>
        <v>0</v>
      </c>
      <c r="J61" s="102">
        <f t="shared" si="2"/>
        <v>9931.4980551572316</v>
      </c>
      <c r="K61" s="102">
        <f t="shared" si="2"/>
        <v>13688.246758595385</v>
      </c>
      <c r="L61" s="102">
        <f t="shared" si="2"/>
        <v>14134.496110314467</v>
      </c>
      <c r="M61" s="102">
        <f t="shared" si="2"/>
        <v>446.24935171907777</v>
      </c>
      <c r="N61" s="102">
        <f t="shared" si="2"/>
        <v>14591.669599838695</v>
      </c>
      <c r="O61" s="102">
        <f t="shared" si="2"/>
        <v>14602.593737643851</v>
      </c>
      <c r="P61" s="102">
        <f t="shared" si="2"/>
        <v>14613.517875449003</v>
      </c>
      <c r="Q61" s="102">
        <f t="shared" si="2"/>
        <v>14624.442013254155</v>
      </c>
      <c r="R61" s="102">
        <f t="shared" si="2"/>
        <v>14635.366151059307</v>
      </c>
      <c r="S61" s="102">
        <f t="shared" si="2"/>
        <v>14646.29028886446</v>
      </c>
      <c r="T61" s="102">
        <f t="shared" si="2"/>
        <v>14657.214426669612</v>
      </c>
      <c r="U61" s="102">
        <f t="shared" si="2"/>
        <v>14668.138564474764</v>
      </c>
      <c r="V61" s="102">
        <f t="shared" si="2"/>
        <v>14679.06270227992</v>
      </c>
      <c r="W61" s="102">
        <f t="shared" si="2"/>
        <v>14689.986840085072</v>
      </c>
      <c r="X61" s="102">
        <f t="shared" si="2"/>
        <v>14811.058060252626</v>
      </c>
      <c r="Y61" s="102">
        <f t="shared" si="2"/>
        <v>14822.064534813311</v>
      </c>
      <c r="Z61" s="102">
        <f t="shared" si="2"/>
        <v>14833.071009374</v>
      </c>
      <c r="AA61" s="102">
        <f t="shared" si="2"/>
        <v>14844.077483934683</v>
      </c>
      <c r="AB61" s="102">
        <f t="shared" si="2"/>
        <v>14855.083958495368</v>
      </c>
      <c r="AC61" s="267">
        <f t="shared" si="2"/>
        <v>14866.090433056057</v>
      </c>
      <c r="AD61" s="343">
        <f t="shared" si="0"/>
        <v>273640.21795533103</v>
      </c>
    </row>
    <row r="62" spans="1:30" s="53" customFormat="1" ht="12">
      <c r="A62" s="44"/>
      <c r="B62" s="70"/>
      <c r="C62" s="63" t="s">
        <v>131</v>
      </c>
      <c r="D62" s="253"/>
      <c r="E62" s="217"/>
      <c r="F62" s="45"/>
      <c r="G62" s="45"/>
      <c r="H62" s="45"/>
      <c r="I62" s="45"/>
      <c r="J62" s="45"/>
      <c r="K62" s="45"/>
      <c r="L62" s="45"/>
      <c r="M62" s="45"/>
      <c r="N62" s="45"/>
      <c r="O62" s="45"/>
      <c r="P62" s="45"/>
      <c r="Q62" s="45"/>
      <c r="R62" s="45"/>
      <c r="S62" s="45"/>
      <c r="T62" s="45"/>
      <c r="U62" s="45"/>
      <c r="V62" s="45"/>
      <c r="W62" s="45"/>
      <c r="X62" s="45"/>
      <c r="Y62" s="45"/>
      <c r="Z62" s="45"/>
      <c r="AA62" s="45"/>
      <c r="AB62" s="45"/>
      <c r="AC62" s="263"/>
      <c r="AD62" s="338"/>
    </row>
    <row r="63" spans="1:30" s="53" customFormat="1" ht="12">
      <c r="A63" s="44"/>
      <c r="B63" s="70"/>
      <c r="C63" s="224" t="s">
        <v>387</v>
      </c>
      <c r="D63" s="210" t="s">
        <v>601</v>
      </c>
      <c r="E63" s="217"/>
      <c r="F63" s="298">
        <f>'Mode Operating Assumptions'!D29</f>
        <v>0.39100279786137265</v>
      </c>
      <c r="G63" s="298">
        <f>'Mode Operating Assumptions'!E29</f>
        <v>0.39205714599476826</v>
      </c>
      <c r="H63" s="298">
        <f>'Mode Operating Assumptions'!F29</f>
        <v>0.39311874523828177</v>
      </c>
      <c r="I63" s="298">
        <f>'Mode Operating Assumptions'!G29</f>
        <v>0.39418767065254157</v>
      </c>
      <c r="J63" s="298">
        <f>'Mode Operating Assumptions'!H29</f>
        <v>0.39526399833776032</v>
      </c>
      <c r="K63" s="298">
        <f>'Mode Operating Assumptions'!I29</f>
        <v>0.39634780545179538</v>
      </c>
      <c r="L63" s="298">
        <f>'Mode Operating Assumptions'!J29</f>
        <v>0.39743917022858699</v>
      </c>
      <c r="M63" s="298">
        <f>'Mode Operating Assumptions'!K29</f>
        <v>0.39853817199698321</v>
      </c>
      <c r="N63" s="298">
        <f>'Mode Operating Assumptions'!L29</f>
        <v>0.39964489119996166</v>
      </c>
      <c r="O63" s="298">
        <f>'Mode Operating Assumptions'!M29</f>
        <v>0.40075940941425758</v>
      </c>
      <c r="P63" s="298">
        <f>'Mode Operating Assumptions'!N29</f>
        <v>0.40188180937040846</v>
      </c>
      <c r="Q63" s="298">
        <f>'Mode Operating Assumptions'!O29</f>
        <v>0.40301217497322528</v>
      </c>
      <c r="R63" s="298">
        <f>'Mode Operating Assumptions'!P29</f>
        <v>0.40415059132270104</v>
      </c>
      <c r="S63" s="298">
        <f>'Mode Operating Assumptions'!Q29</f>
        <v>0.40529714473536788</v>
      </c>
      <c r="T63" s="298">
        <f>'Mode Operating Assumptions'!R29</f>
        <v>0.40645192276611369</v>
      </c>
      <c r="U63" s="298">
        <f>'Mode Operating Assumptions'!S29</f>
        <v>0.40761501423047014</v>
      </c>
      <c r="V63" s="298">
        <f>'Mode Operating Assumptions'!T29</f>
        <v>0.40878650922738302</v>
      </c>
      <c r="W63" s="298">
        <f>'Mode Operating Assumptions'!U29</f>
        <v>0.40996649916247907</v>
      </c>
      <c r="X63" s="298">
        <f>'Mode Operating Assumptions'!V29</f>
        <v>0.41115507677183999</v>
      </c>
      <c r="Y63" s="298">
        <f>'Mode Operating Assumptions'!W29</f>
        <v>0.41235233614629774</v>
      </c>
      <c r="Z63" s="298">
        <f>'Mode Operating Assumptions'!X29</f>
        <v>0.41355837275626389</v>
      </c>
      <c r="AA63" s="298">
        <f>'Mode Operating Assumptions'!Y29</f>
        <v>0.41477328347710757</v>
      </c>
      <c r="AB63" s="298">
        <f>'Mode Operating Assumptions'!Z29</f>
        <v>0.415997166615095</v>
      </c>
      <c r="AC63" s="301">
        <f>'Mode Operating Assumptions'!AA29</f>
        <v>0.41723012193390652</v>
      </c>
      <c r="AD63" s="345">
        <f t="shared" si="0"/>
        <v>9.6905878298649686</v>
      </c>
    </row>
    <row r="64" spans="1:30" s="53" customFormat="1" ht="12">
      <c r="A64" s="44"/>
      <c r="B64" s="70"/>
      <c r="C64" s="224" t="s">
        <v>404</v>
      </c>
      <c r="D64" s="248">
        <f>'Mode Operating Assumptions'!C150</f>
        <v>0.38127571701364549</v>
      </c>
      <c r="E64" s="217"/>
      <c r="F64" s="45"/>
      <c r="G64" s="45"/>
      <c r="H64" s="45"/>
      <c r="I64" s="45"/>
      <c r="J64" s="45"/>
      <c r="K64" s="45"/>
      <c r="L64" s="45"/>
      <c r="M64" s="45"/>
      <c r="N64" s="45"/>
      <c r="O64" s="45"/>
      <c r="P64" s="45"/>
      <c r="Q64" s="45"/>
      <c r="R64" s="45"/>
      <c r="S64" s="45"/>
      <c r="T64" s="45"/>
      <c r="U64" s="45"/>
      <c r="V64" s="45"/>
      <c r="W64" s="45"/>
      <c r="X64" s="45"/>
      <c r="Y64" s="45"/>
      <c r="Z64" s="45"/>
      <c r="AA64" s="45"/>
      <c r="AB64" s="45"/>
      <c r="AC64" s="263"/>
      <c r="AD64" s="338"/>
    </row>
    <row r="65" spans="1:30" s="53" customFormat="1" ht="12">
      <c r="A65" s="44"/>
      <c r="B65" s="70"/>
      <c r="C65" s="224" t="s">
        <v>405</v>
      </c>
      <c r="D65" s="248">
        <f>'Mode Operating Assumptions'!C52</f>
        <v>0.234375</v>
      </c>
      <c r="E65" s="217"/>
      <c r="F65" s="45"/>
      <c r="G65" s="45"/>
      <c r="H65" s="45"/>
      <c r="I65" s="45"/>
      <c r="J65" s="45"/>
      <c r="K65" s="45"/>
      <c r="L65" s="45"/>
      <c r="M65" s="45"/>
      <c r="N65" s="45"/>
      <c r="O65" s="45"/>
      <c r="P65" s="45"/>
      <c r="Q65" s="45"/>
      <c r="R65" s="45"/>
      <c r="S65" s="45"/>
      <c r="T65" s="45"/>
      <c r="U65" s="45"/>
      <c r="V65" s="45"/>
      <c r="W65" s="45"/>
      <c r="X65" s="45"/>
      <c r="Y65" s="45"/>
      <c r="Z65" s="45"/>
      <c r="AA65" s="45"/>
      <c r="AB65" s="45"/>
      <c r="AC65" s="263"/>
      <c r="AD65" s="338"/>
    </row>
    <row r="66" spans="1:30" s="53" customFormat="1" ht="12">
      <c r="A66" s="44"/>
      <c r="C66" s="224" t="s">
        <v>384</v>
      </c>
      <c r="D66" s="253">
        <f>'Price Assumptions'!B3</f>
        <v>12.5</v>
      </c>
      <c r="E66" s="217"/>
      <c r="F66" s="45"/>
      <c r="G66" s="45"/>
      <c r="H66" s="45"/>
      <c r="I66" s="45"/>
      <c r="J66" s="45"/>
      <c r="K66" s="45"/>
      <c r="L66" s="45"/>
      <c r="M66" s="45"/>
      <c r="N66" s="45"/>
      <c r="O66" s="45"/>
      <c r="P66" s="45"/>
      <c r="Q66" s="45"/>
      <c r="R66" s="45"/>
      <c r="S66" s="45"/>
      <c r="T66" s="45"/>
      <c r="U66" s="45"/>
      <c r="V66" s="45"/>
      <c r="W66" s="45"/>
      <c r="X66" s="45"/>
      <c r="Y66" s="45"/>
      <c r="Z66" s="45"/>
      <c r="AA66" s="45"/>
      <c r="AB66" s="45"/>
      <c r="AC66" s="263"/>
      <c r="AD66" s="338"/>
    </row>
    <row r="67" spans="1:30" s="53" customFormat="1" ht="12">
      <c r="A67" s="44"/>
      <c r="B67" s="70"/>
      <c r="C67" s="224" t="s">
        <v>385</v>
      </c>
      <c r="D67" s="253">
        <f>'Price Assumptions'!B5</f>
        <v>12.5</v>
      </c>
      <c r="E67" s="217"/>
      <c r="F67" s="45"/>
      <c r="G67" s="45"/>
      <c r="H67" s="45"/>
      <c r="I67" s="45"/>
      <c r="J67" s="45"/>
      <c r="K67" s="45"/>
      <c r="L67" s="45"/>
      <c r="M67" s="45"/>
      <c r="N67" s="45"/>
      <c r="O67" s="45"/>
      <c r="P67" s="45"/>
      <c r="Q67" s="45"/>
      <c r="R67" s="45"/>
      <c r="S67" s="45"/>
      <c r="T67" s="45"/>
      <c r="U67" s="45"/>
      <c r="V67" s="45"/>
      <c r="W67" s="45"/>
      <c r="X67" s="45"/>
      <c r="Y67" s="45"/>
      <c r="Z67" s="45"/>
      <c r="AA67" s="45"/>
      <c r="AB67" s="45"/>
      <c r="AC67" s="263"/>
      <c r="AD67" s="338"/>
    </row>
    <row r="68" spans="1:30" s="53" customFormat="1" ht="12">
      <c r="A68" s="44"/>
      <c r="B68" s="70"/>
      <c r="C68" s="224" t="s">
        <v>403</v>
      </c>
      <c r="D68" s="253">
        <f>D58</f>
        <v>23.9</v>
      </c>
      <c r="E68" s="217"/>
      <c r="F68" s="45"/>
      <c r="G68" s="45"/>
      <c r="H68" s="45"/>
      <c r="I68" s="45"/>
      <c r="J68" s="45"/>
      <c r="K68" s="45"/>
      <c r="L68" s="45"/>
      <c r="M68" s="45"/>
      <c r="N68" s="45"/>
      <c r="O68" s="45"/>
      <c r="P68" s="45"/>
      <c r="Q68" s="45"/>
      <c r="R68" s="45"/>
      <c r="S68" s="45"/>
      <c r="T68" s="45"/>
      <c r="U68" s="45"/>
      <c r="V68" s="45"/>
      <c r="W68" s="45"/>
      <c r="X68" s="45"/>
      <c r="Y68" s="45"/>
      <c r="Z68" s="45"/>
      <c r="AA68" s="45"/>
      <c r="AB68" s="45"/>
      <c r="AC68" s="263"/>
      <c r="AD68" s="338"/>
    </row>
    <row r="69" spans="1:30" s="53" customFormat="1" ht="12">
      <c r="A69" s="44"/>
      <c r="B69" s="70"/>
      <c r="C69" s="78" t="s">
        <v>400</v>
      </c>
      <c r="D69" s="253"/>
      <c r="E69" s="217"/>
      <c r="F69" s="255">
        <f>+(F63*$D$66)-($D$64*$D$67)-($D$65*$D$68)</f>
        <v>-5.479973989403411</v>
      </c>
      <c r="G69" s="255">
        <f>+(G63*$D$66)-($D$64*$D$67)-($D$65*$D$68)</f>
        <v>-5.4667946377359655</v>
      </c>
      <c r="H69" s="255">
        <f t="shared" ref="H69:AC69" si="3">+(H63*$D$66)-($D$64*$D$67)-($D$65*$D$68)</f>
        <v>-5.4535246471920464</v>
      </c>
      <c r="I69" s="255">
        <f t="shared" si="3"/>
        <v>-5.4401630795137992</v>
      </c>
      <c r="J69" s="255">
        <f t="shared" si="3"/>
        <v>-5.4267089834485649</v>
      </c>
      <c r="K69" s="255">
        <f t="shared" si="3"/>
        <v>-5.4131613945231267</v>
      </c>
      <c r="L69" s="255">
        <f t="shared" si="3"/>
        <v>-5.399519334813232</v>
      </c>
      <c r="M69" s="255">
        <f t="shared" si="3"/>
        <v>-5.385781812708279</v>
      </c>
      <c r="N69" s="255">
        <f t="shared" si="3"/>
        <v>-5.3719478226710482</v>
      </c>
      <c r="O69" s="255">
        <f t="shared" si="3"/>
        <v>-5.3580163449923495</v>
      </c>
      <c r="P69" s="255">
        <f t="shared" si="3"/>
        <v>-5.343986345540463</v>
      </c>
      <c r="Q69" s="255">
        <f t="shared" si="3"/>
        <v>-5.3298567755052533</v>
      </c>
      <c r="R69" s="255">
        <f t="shared" si="3"/>
        <v>-5.3156265711368063</v>
      </c>
      <c r="S69" s="255">
        <f t="shared" si="3"/>
        <v>-5.3012946534784708</v>
      </c>
      <c r="T69" s="255">
        <f t="shared" si="3"/>
        <v>-5.286859928094148</v>
      </c>
      <c r="U69" s="255">
        <f t="shared" si="3"/>
        <v>-5.2723212847896921</v>
      </c>
      <c r="V69" s="255">
        <f t="shared" si="3"/>
        <v>-5.2576775973282812</v>
      </c>
      <c r="W69" s="255">
        <f t="shared" si="3"/>
        <v>-5.242927723139581</v>
      </c>
      <c r="X69" s="255">
        <f t="shared" si="3"/>
        <v>-5.2280705030225691</v>
      </c>
      <c r="Y69" s="255">
        <f t="shared" si="3"/>
        <v>-5.2131047608418468</v>
      </c>
      <c r="Z69" s="255">
        <f t="shared" si="3"/>
        <v>-5.19802930321727</v>
      </c>
      <c r="AA69" s="255">
        <f t="shared" si="3"/>
        <v>-5.182842919206724</v>
      </c>
      <c r="AB69" s="255">
        <f t="shared" si="3"/>
        <v>-5.167544379981881</v>
      </c>
      <c r="AC69" s="268">
        <f t="shared" si="3"/>
        <v>-5.1521324384967375</v>
      </c>
      <c r="AD69" s="346">
        <f t="shared" si="0"/>
        <v>-127.68786723078153</v>
      </c>
    </row>
    <row r="70" spans="1:30" s="53" customFormat="1" ht="12">
      <c r="A70" s="44"/>
      <c r="B70" s="70"/>
      <c r="D70" s="253"/>
      <c r="E70" s="217"/>
      <c r="F70" s="255">
        <f>F69*F61</f>
        <v>0</v>
      </c>
      <c r="G70" s="255">
        <f t="shared" ref="G70:AC70" si="4">G69*G61</f>
        <v>0</v>
      </c>
      <c r="H70" s="255">
        <f t="shared" si="4"/>
        <v>0</v>
      </c>
      <c r="I70" s="255">
        <f t="shared" si="4"/>
        <v>0</v>
      </c>
      <c r="J70" s="255">
        <f t="shared" si="4"/>
        <v>-53895.349715023702</v>
      </c>
      <c r="K70" s="255">
        <f t="shared" si="4"/>
        <v>-74096.688912334866</v>
      </c>
      <c r="L70" s="255">
        <f t="shared" si="4"/>
        <v>-76319.485035485384</v>
      </c>
      <c r="M70" s="255">
        <f t="shared" si="4"/>
        <v>-2403.4016424214692</v>
      </c>
      <c r="N70" s="255">
        <f t="shared" si="4"/>
        <v>-78385.687735988802</v>
      </c>
      <c r="O70" s="255">
        <f t="shared" si="4"/>
        <v>-78240.935925578669</v>
      </c>
      <c r="P70" s="255">
        <f t="shared" si="4"/>
        <v>-78094.439986710946</v>
      </c>
      <c r="Q70" s="255">
        <f t="shared" si="4"/>
        <v>-77946.181352326341</v>
      </c>
      <c r="R70" s="255">
        <f t="shared" si="4"/>
        <v>-77796.141190887065</v>
      </c>
      <c r="S70" s="255">
        <f t="shared" si="4"/>
        <v>-77644.300401650806</v>
      </c>
      <c r="T70" s="255">
        <f t="shared" si="4"/>
        <v>-77490.639609843012</v>
      </c>
      <c r="U70" s="255">
        <f t="shared" si="4"/>
        <v>-77335.139161724815</v>
      </c>
      <c r="V70" s="255">
        <f t="shared" si="4"/>
        <v>-77177.779119554281</v>
      </c>
      <c r="W70" s="255">
        <f t="shared" si="4"/>
        <v>-77018.539256437638</v>
      </c>
      <c r="X70" s="255">
        <f t="shared" si="4"/>
        <v>-77433.25576336142</v>
      </c>
      <c r="Y70" s="255">
        <f t="shared" si="4"/>
        <v>-77268.975191940364</v>
      </c>
      <c r="Z70" s="255">
        <f t="shared" si="4"/>
        <v>-77102.737763428624</v>
      </c>
      <c r="AA70" s="255">
        <f t="shared" si="4"/>
        <v>-76934.521879766835</v>
      </c>
      <c r="AB70" s="255">
        <f t="shared" si="4"/>
        <v>-76764.305623881737</v>
      </c>
      <c r="AC70" s="268">
        <f t="shared" si="4"/>
        <v>-76592.066753774125</v>
      </c>
      <c r="AD70" s="346">
        <f t="shared" ref="AD70:AD132" si="5">SUM(F70:AC70)</f>
        <v>-1445940.5720221212</v>
      </c>
    </row>
    <row r="71" spans="1:30" s="53" customFormat="1" ht="12">
      <c r="A71" s="44"/>
      <c r="B71" s="70"/>
      <c r="C71" s="62" t="s">
        <v>413</v>
      </c>
      <c r="D71" s="210"/>
      <c r="E71" s="217"/>
      <c r="F71" s="289">
        <f>F70</f>
        <v>0</v>
      </c>
      <c r="G71" s="289">
        <f t="shared" ref="G71:AC71" si="6">G70</f>
        <v>0</v>
      </c>
      <c r="H71" s="289">
        <f t="shared" si="6"/>
        <v>0</v>
      </c>
      <c r="I71" s="289">
        <f t="shared" si="6"/>
        <v>0</v>
      </c>
      <c r="J71" s="289">
        <f t="shared" si="6"/>
        <v>-53895.349715023702</v>
      </c>
      <c r="K71" s="289">
        <f t="shared" si="6"/>
        <v>-74096.688912334866</v>
      </c>
      <c r="L71" s="289">
        <f t="shared" si="6"/>
        <v>-76319.485035485384</v>
      </c>
      <c r="M71" s="289">
        <f t="shared" si="6"/>
        <v>-2403.4016424214692</v>
      </c>
      <c r="N71" s="289">
        <f t="shared" si="6"/>
        <v>-78385.687735988802</v>
      </c>
      <c r="O71" s="289">
        <f t="shared" si="6"/>
        <v>-78240.935925578669</v>
      </c>
      <c r="P71" s="289">
        <f t="shared" si="6"/>
        <v>-78094.439986710946</v>
      </c>
      <c r="Q71" s="289">
        <f t="shared" si="6"/>
        <v>-77946.181352326341</v>
      </c>
      <c r="R71" s="289">
        <f t="shared" si="6"/>
        <v>-77796.141190887065</v>
      </c>
      <c r="S71" s="289">
        <f t="shared" si="6"/>
        <v>-77644.300401650806</v>
      </c>
      <c r="T71" s="289">
        <f t="shared" si="6"/>
        <v>-77490.639609843012</v>
      </c>
      <c r="U71" s="289">
        <f t="shared" si="6"/>
        <v>-77335.139161724815</v>
      </c>
      <c r="V71" s="289">
        <f t="shared" si="6"/>
        <v>-77177.779119554281</v>
      </c>
      <c r="W71" s="289">
        <f t="shared" si="6"/>
        <v>-77018.539256437638</v>
      </c>
      <c r="X71" s="289">
        <f t="shared" si="6"/>
        <v>-77433.25576336142</v>
      </c>
      <c r="Y71" s="289">
        <f t="shared" si="6"/>
        <v>-77268.975191940364</v>
      </c>
      <c r="Z71" s="289">
        <f t="shared" si="6"/>
        <v>-77102.737763428624</v>
      </c>
      <c r="AA71" s="289">
        <f t="shared" si="6"/>
        <v>-76934.521879766835</v>
      </c>
      <c r="AB71" s="289">
        <f t="shared" si="6"/>
        <v>-76764.305623881737</v>
      </c>
      <c r="AC71" s="318">
        <f t="shared" si="6"/>
        <v>-76592.066753774125</v>
      </c>
      <c r="AD71" s="347">
        <f t="shared" si="5"/>
        <v>-1445940.5720221212</v>
      </c>
    </row>
    <row r="72" spans="1:30" s="53" customFormat="1" ht="12">
      <c r="A72" s="44"/>
      <c r="B72" s="70"/>
      <c r="D72" s="210"/>
      <c r="E72" s="217"/>
      <c r="F72" s="233"/>
      <c r="G72" s="233"/>
      <c r="H72" s="233"/>
      <c r="I72" s="233"/>
      <c r="J72" s="233"/>
      <c r="K72" s="233"/>
      <c r="L72" s="233"/>
      <c r="M72" s="233"/>
      <c r="N72" s="233"/>
      <c r="O72" s="233"/>
      <c r="P72" s="233"/>
      <c r="Q72" s="233"/>
      <c r="R72" s="233"/>
      <c r="S72" s="233"/>
      <c r="T72" s="233"/>
      <c r="U72" s="233"/>
      <c r="V72" s="233"/>
      <c r="W72" s="233"/>
      <c r="X72" s="233"/>
      <c r="Y72" s="233"/>
      <c r="Z72" s="233"/>
      <c r="AA72" s="233"/>
      <c r="AB72" s="233"/>
      <c r="AC72" s="266"/>
      <c r="AD72" s="348"/>
    </row>
    <row r="73" spans="1:30" s="53" customFormat="1" ht="12">
      <c r="A73" s="44"/>
      <c r="B73" s="70"/>
      <c r="C73" s="63" t="s">
        <v>149</v>
      </c>
      <c r="D73" s="210"/>
      <c r="E73" s="217"/>
      <c r="F73" s="233"/>
      <c r="G73" s="233"/>
      <c r="H73" s="233"/>
      <c r="I73" s="233"/>
      <c r="J73" s="233"/>
      <c r="K73" s="233"/>
      <c r="L73" s="233"/>
      <c r="M73" s="233"/>
      <c r="N73" s="233"/>
      <c r="O73" s="233"/>
      <c r="P73" s="233"/>
      <c r="Q73" s="233"/>
      <c r="R73" s="233"/>
      <c r="S73" s="233"/>
      <c r="T73" s="233"/>
      <c r="U73" s="233"/>
      <c r="V73" s="233"/>
      <c r="W73" s="233"/>
      <c r="X73" s="233"/>
      <c r="Y73" s="233"/>
      <c r="Z73" s="233"/>
      <c r="AA73" s="233"/>
      <c r="AB73" s="233"/>
      <c r="AC73" s="266"/>
      <c r="AD73" s="348"/>
    </row>
    <row r="74" spans="1:30" s="53" customFormat="1" ht="12">
      <c r="A74" s="44"/>
      <c r="B74" s="70"/>
      <c r="C74" s="224" t="s">
        <v>472</v>
      </c>
      <c r="D74" s="253">
        <f>'Mode Operating Assumptions'!C33</f>
        <v>8.1905000000000001</v>
      </c>
      <c r="E74" s="217"/>
      <c r="F74" s="233"/>
      <c r="G74" s="233"/>
      <c r="H74" s="233"/>
      <c r="I74" s="233"/>
      <c r="J74" s="233"/>
      <c r="K74" s="233"/>
      <c r="L74" s="233"/>
      <c r="M74" s="233"/>
      <c r="N74" s="233"/>
      <c r="O74" s="233"/>
      <c r="P74" s="233"/>
      <c r="Q74" s="233"/>
      <c r="R74" s="233"/>
      <c r="S74" s="233"/>
      <c r="T74" s="233"/>
      <c r="U74" s="233"/>
      <c r="V74" s="233"/>
      <c r="W74" s="233"/>
      <c r="X74" s="233"/>
      <c r="Y74" s="233"/>
      <c r="Z74" s="233"/>
      <c r="AA74" s="233"/>
      <c r="AB74" s="233"/>
      <c r="AC74" s="266"/>
      <c r="AD74" s="348"/>
    </row>
    <row r="75" spans="1:30" s="53" customFormat="1" ht="12">
      <c r="A75" s="44"/>
      <c r="B75" s="70"/>
      <c r="C75" s="225" t="s">
        <v>461</v>
      </c>
      <c r="D75" s="253">
        <f>'Mode Operating Assumptions'!C153</f>
        <v>2.107407271835358</v>
      </c>
      <c r="E75" s="217"/>
      <c r="F75" s="233"/>
      <c r="G75" s="233"/>
      <c r="H75" s="233"/>
      <c r="I75" s="233"/>
      <c r="J75" s="233"/>
      <c r="K75" s="233"/>
      <c r="L75" s="233"/>
      <c r="M75" s="233"/>
      <c r="N75" s="233"/>
      <c r="O75" s="233"/>
      <c r="P75" s="233"/>
      <c r="Q75" s="233"/>
      <c r="R75" s="233"/>
      <c r="S75" s="233"/>
      <c r="T75" s="233"/>
      <c r="U75" s="233"/>
      <c r="V75" s="233"/>
      <c r="W75" s="233"/>
      <c r="X75" s="233"/>
      <c r="Y75" s="233"/>
      <c r="Z75" s="233"/>
      <c r="AA75" s="233"/>
      <c r="AB75" s="233"/>
      <c r="AC75" s="266"/>
      <c r="AD75" s="348"/>
    </row>
    <row r="76" spans="1:30" s="53" customFormat="1" ht="12">
      <c r="A76" s="44"/>
      <c r="B76" s="70"/>
      <c r="C76" s="224" t="s">
        <v>473</v>
      </c>
      <c r="D76" s="253">
        <v>0.05</v>
      </c>
      <c r="E76" s="217"/>
      <c r="F76" s="233"/>
      <c r="G76" s="233"/>
      <c r="H76" s="233"/>
      <c r="I76" s="233"/>
      <c r="J76" s="233"/>
      <c r="K76" s="233"/>
      <c r="L76" s="233"/>
      <c r="M76" s="233"/>
      <c r="N76" s="233"/>
      <c r="O76" s="233"/>
      <c r="P76" s="233"/>
      <c r="Q76" s="233"/>
      <c r="R76" s="233"/>
      <c r="S76" s="233"/>
      <c r="T76" s="233"/>
      <c r="U76" s="233"/>
      <c r="V76" s="233"/>
      <c r="W76" s="233"/>
      <c r="X76" s="233"/>
      <c r="Y76" s="233"/>
      <c r="Z76" s="233"/>
      <c r="AA76" s="233"/>
      <c r="AB76" s="233"/>
      <c r="AC76" s="266"/>
      <c r="AD76" s="348"/>
    </row>
    <row r="77" spans="1:30" s="53" customFormat="1" ht="12">
      <c r="A77" s="44"/>
      <c r="B77" s="70"/>
      <c r="C77" s="78" t="s">
        <v>474</v>
      </c>
      <c r="D77" s="253">
        <f>+D74-D75-D76</f>
        <v>6.0330927281646423</v>
      </c>
      <c r="E77" s="217"/>
      <c r="F77" s="255">
        <f t="shared" ref="F77:AC77" si="7">$D77*F61</f>
        <v>0</v>
      </c>
      <c r="G77" s="255">
        <f t="shared" si="7"/>
        <v>0</v>
      </c>
      <c r="H77" s="255">
        <f t="shared" si="7"/>
        <v>0</v>
      </c>
      <c r="I77" s="255">
        <f t="shared" si="7"/>
        <v>0</v>
      </c>
      <c r="J77" s="255">
        <f t="shared" si="7"/>
        <v>59917.648696350385</v>
      </c>
      <c r="K77" s="255">
        <f t="shared" si="7"/>
        <v>82582.461980605061</v>
      </c>
      <c r="L77" s="255">
        <f t="shared" si="7"/>
        <v>85274.725699409639</v>
      </c>
      <c r="M77" s="255">
        <f t="shared" si="7"/>
        <v>2692.2637188045537</v>
      </c>
      <c r="N77" s="255">
        <f t="shared" si="7"/>
        <v>88032.8957545679</v>
      </c>
      <c r="O77" s="255">
        <f t="shared" si="7"/>
        <v>88098.802090921658</v>
      </c>
      <c r="P77" s="255">
        <f t="shared" si="7"/>
        <v>88164.708427275385</v>
      </c>
      <c r="Q77" s="255">
        <f t="shared" si="7"/>
        <v>88230.614763629113</v>
      </c>
      <c r="R77" s="255">
        <f t="shared" si="7"/>
        <v>88296.521099982856</v>
      </c>
      <c r="S77" s="255">
        <f t="shared" si="7"/>
        <v>88362.427436336598</v>
      </c>
      <c r="T77" s="255">
        <f t="shared" si="7"/>
        <v>88428.333772690326</v>
      </c>
      <c r="U77" s="255">
        <f t="shared" si="7"/>
        <v>88494.240109044054</v>
      </c>
      <c r="V77" s="255">
        <f t="shared" si="7"/>
        <v>88560.146445397811</v>
      </c>
      <c r="W77" s="255">
        <f t="shared" si="7"/>
        <v>88626.052781751539</v>
      </c>
      <c r="X77" s="255">
        <f t="shared" si="7"/>
        <v>89356.486679734429</v>
      </c>
      <c r="Y77" s="255">
        <f t="shared" si="7"/>
        <v>89422.889761369224</v>
      </c>
      <c r="Z77" s="255">
        <f t="shared" si="7"/>
        <v>89489.292843004048</v>
      </c>
      <c r="AA77" s="255">
        <f t="shared" si="7"/>
        <v>89555.695924638843</v>
      </c>
      <c r="AB77" s="255">
        <f t="shared" si="7"/>
        <v>89622.099006273638</v>
      </c>
      <c r="AC77" s="268">
        <f t="shared" si="7"/>
        <v>89688.502087908462</v>
      </c>
      <c r="AD77" s="346">
        <f t="shared" si="5"/>
        <v>1650896.8090796957</v>
      </c>
    </row>
    <row r="78" spans="1:30" s="53" customFormat="1" ht="12">
      <c r="A78" s="44"/>
      <c r="B78" s="70"/>
      <c r="C78" s="62" t="s">
        <v>414</v>
      </c>
      <c r="D78" s="210"/>
      <c r="E78" s="217"/>
      <c r="F78" s="289">
        <f>F77</f>
        <v>0</v>
      </c>
      <c r="G78" s="289">
        <f t="shared" ref="G78:AC78" si="8">G77</f>
        <v>0</v>
      </c>
      <c r="H78" s="289">
        <f t="shared" si="8"/>
        <v>0</v>
      </c>
      <c r="I78" s="289">
        <f t="shared" si="8"/>
        <v>0</v>
      </c>
      <c r="J78" s="289">
        <f t="shared" si="8"/>
        <v>59917.648696350385</v>
      </c>
      <c r="K78" s="289">
        <f t="shared" si="8"/>
        <v>82582.461980605061</v>
      </c>
      <c r="L78" s="289">
        <f t="shared" si="8"/>
        <v>85274.725699409639</v>
      </c>
      <c r="M78" s="289">
        <f t="shared" si="8"/>
        <v>2692.2637188045537</v>
      </c>
      <c r="N78" s="289">
        <f t="shared" si="8"/>
        <v>88032.8957545679</v>
      </c>
      <c r="O78" s="289">
        <f t="shared" si="8"/>
        <v>88098.802090921658</v>
      </c>
      <c r="P78" s="289">
        <f t="shared" si="8"/>
        <v>88164.708427275385</v>
      </c>
      <c r="Q78" s="289">
        <f t="shared" si="8"/>
        <v>88230.614763629113</v>
      </c>
      <c r="R78" s="289">
        <f t="shared" si="8"/>
        <v>88296.521099982856</v>
      </c>
      <c r="S78" s="289">
        <f t="shared" si="8"/>
        <v>88362.427436336598</v>
      </c>
      <c r="T78" s="289">
        <f t="shared" si="8"/>
        <v>88428.333772690326</v>
      </c>
      <c r="U78" s="289">
        <f t="shared" si="8"/>
        <v>88494.240109044054</v>
      </c>
      <c r="V78" s="289">
        <f t="shared" si="8"/>
        <v>88560.146445397811</v>
      </c>
      <c r="W78" s="289">
        <f t="shared" si="8"/>
        <v>88626.052781751539</v>
      </c>
      <c r="X78" s="289">
        <f t="shared" si="8"/>
        <v>89356.486679734429</v>
      </c>
      <c r="Y78" s="289">
        <f t="shared" si="8"/>
        <v>89422.889761369224</v>
      </c>
      <c r="Z78" s="289">
        <f t="shared" si="8"/>
        <v>89489.292843004048</v>
      </c>
      <c r="AA78" s="289">
        <f t="shared" si="8"/>
        <v>89555.695924638843</v>
      </c>
      <c r="AB78" s="289">
        <f t="shared" si="8"/>
        <v>89622.099006273638</v>
      </c>
      <c r="AC78" s="318">
        <f t="shared" si="8"/>
        <v>89688.502087908462</v>
      </c>
      <c r="AD78" s="347">
        <f t="shared" si="5"/>
        <v>1650896.8090796957</v>
      </c>
    </row>
    <row r="79" spans="1:30" s="53" customFormat="1" ht="12">
      <c r="A79" s="44"/>
      <c r="B79" s="70"/>
      <c r="C79" s="108"/>
      <c r="D79" s="210"/>
      <c r="E79" s="217"/>
      <c r="F79" s="45"/>
      <c r="G79" s="62"/>
      <c r="H79" s="59"/>
      <c r="I79" s="59"/>
      <c r="J79" s="59"/>
      <c r="K79" s="59"/>
      <c r="L79" s="59"/>
      <c r="M79" s="59"/>
      <c r="N79" s="59"/>
      <c r="O79" s="59"/>
      <c r="P79" s="59"/>
      <c r="Q79" s="59"/>
      <c r="R79" s="59"/>
      <c r="S79" s="59"/>
      <c r="T79" s="59"/>
      <c r="U79" s="59"/>
      <c r="V79" s="59"/>
      <c r="W79" s="59"/>
      <c r="X79" s="59"/>
      <c r="Y79" s="59"/>
      <c r="AC79" s="263"/>
      <c r="AD79" s="338"/>
    </row>
    <row r="80" spans="1:30" s="53" customFormat="1" ht="12">
      <c r="A80" s="44"/>
      <c r="B80" s="5" t="s">
        <v>261</v>
      </c>
      <c r="C80" s="55"/>
      <c r="D80" s="210"/>
      <c r="E80" s="217"/>
      <c r="F80" s="45"/>
      <c r="G80" s="59"/>
      <c r="H80" s="59"/>
      <c r="I80" s="59"/>
      <c r="J80" s="59"/>
      <c r="K80" s="59"/>
      <c r="L80" s="59"/>
      <c r="M80" s="59"/>
      <c r="N80" s="59"/>
      <c r="O80" s="59"/>
      <c r="P80" s="59"/>
      <c r="Q80" s="59"/>
      <c r="R80" s="59"/>
      <c r="S80" s="59"/>
      <c r="T80" s="59"/>
      <c r="U80" s="59"/>
      <c r="V80" s="59"/>
      <c r="W80" s="59"/>
      <c r="X80" s="59"/>
      <c r="Y80" s="59"/>
      <c r="AC80" s="263"/>
      <c r="AD80" s="338"/>
    </row>
    <row r="81" spans="1:30" s="53" customFormat="1" ht="12">
      <c r="A81" s="44"/>
      <c r="B81" s="70" t="s">
        <v>447</v>
      </c>
      <c r="C81" s="70" t="s">
        <v>350</v>
      </c>
      <c r="D81" s="210"/>
      <c r="E81" s="217"/>
      <c r="F81" s="45"/>
      <c r="G81" s="59"/>
      <c r="H81" s="59"/>
      <c r="I81" s="59"/>
      <c r="J81" s="59"/>
      <c r="K81" s="59"/>
      <c r="L81" s="59"/>
      <c r="M81" s="59"/>
      <c r="N81" s="59"/>
      <c r="O81" s="59"/>
      <c r="P81" s="59"/>
      <c r="Q81" s="59"/>
      <c r="R81" s="59"/>
      <c r="S81" s="59"/>
      <c r="T81" s="59"/>
      <c r="U81" s="59"/>
      <c r="V81" s="59"/>
      <c r="W81" s="59"/>
      <c r="X81" s="59"/>
      <c r="Y81" s="59"/>
      <c r="AC81" s="263"/>
      <c r="AD81" s="338"/>
    </row>
    <row r="82" spans="1:30" s="53" customFormat="1" ht="12">
      <c r="A82" s="44"/>
      <c r="C82" s="63" t="s">
        <v>131</v>
      </c>
      <c r="D82" s="210"/>
      <c r="E82" s="217"/>
      <c r="F82" s="45"/>
      <c r="G82" s="59"/>
      <c r="H82" s="59"/>
      <c r="I82" s="59"/>
      <c r="J82" s="59"/>
      <c r="K82" s="59"/>
      <c r="L82" s="59"/>
      <c r="M82" s="59"/>
      <c r="N82" s="59"/>
      <c r="O82" s="59"/>
      <c r="P82" s="59"/>
      <c r="Q82" s="59"/>
      <c r="R82" s="59"/>
      <c r="S82" s="59"/>
      <c r="T82" s="59"/>
      <c r="U82" s="59"/>
      <c r="V82" s="59"/>
      <c r="W82" s="59"/>
      <c r="X82" s="59"/>
      <c r="Y82" s="59"/>
      <c r="AC82" s="263"/>
      <c r="AD82" s="338"/>
    </row>
    <row r="83" spans="1:30" s="53" customFormat="1" ht="12">
      <c r="A83" s="44"/>
      <c r="B83" s="70"/>
      <c r="C83" s="226" t="s">
        <v>383</v>
      </c>
      <c r="D83" s="210">
        <v>0</v>
      </c>
      <c r="E83" s="217"/>
      <c r="F83" s="45"/>
      <c r="G83" s="59"/>
      <c r="H83" s="59"/>
      <c r="I83" s="59"/>
      <c r="J83" s="59"/>
      <c r="K83" s="59"/>
      <c r="L83" s="59"/>
      <c r="M83" s="59"/>
      <c r="N83" s="59"/>
      <c r="O83" s="59"/>
      <c r="P83" s="59"/>
      <c r="Q83" s="59"/>
      <c r="R83" s="59"/>
      <c r="S83" s="59"/>
      <c r="T83" s="59"/>
      <c r="U83" s="59"/>
      <c r="V83" s="59"/>
      <c r="W83" s="59"/>
      <c r="X83" s="59"/>
      <c r="Y83" s="59"/>
      <c r="AC83" s="263"/>
      <c r="AD83" s="338"/>
    </row>
    <row r="84" spans="1:30" s="53" customFormat="1" ht="12">
      <c r="A84" s="44"/>
      <c r="B84" s="70"/>
      <c r="C84" s="224" t="s">
        <v>422</v>
      </c>
      <c r="D84" s="223">
        <f>'Price Assumptions'!$B$3</f>
        <v>12.5</v>
      </c>
      <c r="E84" s="217"/>
      <c r="F84" s="45"/>
      <c r="G84" s="59"/>
      <c r="H84" s="59"/>
      <c r="I84" s="59"/>
      <c r="J84" s="59"/>
      <c r="K84" s="59"/>
      <c r="L84" s="59"/>
      <c r="M84" s="59"/>
      <c r="N84" s="59"/>
      <c r="O84" s="59"/>
      <c r="P84" s="59"/>
      <c r="Q84" s="59"/>
      <c r="R84" s="59"/>
      <c r="S84" s="59"/>
      <c r="T84" s="59"/>
      <c r="U84" s="59"/>
      <c r="V84" s="59"/>
      <c r="W84" s="59"/>
      <c r="X84" s="59"/>
      <c r="Y84" s="59"/>
      <c r="AC84" s="263"/>
      <c r="AD84" s="338"/>
    </row>
    <row r="85" spans="1:30" s="53" customFormat="1" ht="12">
      <c r="A85" s="44"/>
      <c r="B85" s="70"/>
      <c r="C85" s="62" t="s">
        <v>413</v>
      </c>
      <c r="D85" s="210"/>
      <c r="E85" s="217"/>
      <c r="F85" s="285">
        <f>$D$83*$D$84*F15</f>
        <v>0</v>
      </c>
      <c r="G85" s="285">
        <f t="shared" ref="G85:AC85" si="9">$D$83*$D$84*G15</f>
        <v>0</v>
      </c>
      <c r="H85" s="285">
        <f t="shared" si="9"/>
        <v>0</v>
      </c>
      <c r="I85" s="285">
        <f t="shared" si="9"/>
        <v>0</v>
      </c>
      <c r="J85" s="285">
        <f t="shared" si="9"/>
        <v>0</v>
      </c>
      <c r="K85" s="285">
        <f t="shared" si="9"/>
        <v>0</v>
      </c>
      <c r="L85" s="285">
        <f t="shared" si="9"/>
        <v>0</v>
      </c>
      <c r="M85" s="285">
        <f t="shared" si="9"/>
        <v>0</v>
      </c>
      <c r="N85" s="285">
        <f t="shared" si="9"/>
        <v>0</v>
      </c>
      <c r="O85" s="285">
        <f t="shared" si="9"/>
        <v>0</v>
      </c>
      <c r="P85" s="285">
        <f t="shared" si="9"/>
        <v>0</v>
      </c>
      <c r="Q85" s="285">
        <f t="shared" si="9"/>
        <v>0</v>
      </c>
      <c r="R85" s="285">
        <f t="shared" si="9"/>
        <v>0</v>
      </c>
      <c r="S85" s="285">
        <f t="shared" si="9"/>
        <v>0</v>
      </c>
      <c r="T85" s="285">
        <f t="shared" si="9"/>
        <v>0</v>
      </c>
      <c r="U85" s="285">
        <f t="shared" si="9"/>
        <v>0</v>
      </c>
      <c r="V85" s="285">
        <f t="shared" si="9"/>
        <v>0</v>
      </c>
      <c r="W85" s="285">
        <f t="shared" si="9"/>
        <v>0</v>
      </c>
      <c r="X85" s="285">
        <f t="shared" si="9"/>
        <v>0</v>
      </c>
      <c r="Y85" s="285">
        <f t="shared" si="9"/>
        <v>0</v>
      </c>
      <c r="Z85" s="285">
        <f t="shared" si="9"/>
        <v>0</v>
      </c>
      <c r="AA85" s="285">
        <f t="shared" si="9"/>
        <v>0</v>
      </c>
      <c r="AB85" s="285">
        <f t="shared" si="9"/>
        <v>0</v>
      </c>
      <c r="AC85" s="286">
        <f t="shared" si="9"/>
        <v>0</v>
      </c>
      <c r="AD85" s="349">
        <f t="shared" si="5"/>
        <v>0</v>
      </c>
    </row>
    <row r="86" spans="1:30" s="53" customFormat="1" ht="12">
      <c r="A86" s="44"/>
      <c r="B86" s="70"/>
      <c r="D86" s="210"/>
      <c r="E86" s="217"/>
      <c r="F86" s="45"/>
      <c r="G86" s="59"/>
      <c r="H86" s="59"/>
      <c r="I86" s="59"/>
      <c r="J86" s="59"/>
      <c r="K86" s="59"/>
      <c r="L86" s="59"/>
      <c r="M86" s="59"/>
      <c r="N86" s="59"/>
      <c r="O86" s="59"/>
      <c r="P86" s="59"/>
      <c r="Q86" s="59"/>
      <c r="R86" s="59"/>
      <c r="S86" s="59"/>
      <c r="T86" s="59"/>
      <c r="U86" s="59"/>
      <c r="V86" s="59"/>
      <c r="W86" s="59"/>
      <c r="X86" s="59"/>
      <c r="Y86" s="59"/>
      <c r="AC86" s="263"/>
      <c r="AD86" s="338"/>
    </row>
    <row r="87" spans="1:30" s="53" customFormat="1" ht="12">
      <c r="A87" s="44"/>
      <c r="B87" s="70"/>
      <c r="D87" s="210"/>
      <c r="E87" s="217"/>
      <c r="F87" s="45"/>
      <c r="G87" s="59"/>
      <c r="H87" s="59"/>
      <c r="I87" s="59"/>
      <c r="J87" s="59"/>
      <c r="K87" s="59"/>
      <c r="L87" s="59"/>
      <c r="M87" s="59"/>
      <c r="N87" s="59"/>
      <c r="O87" s="59"/>
      <c r="P87" s="59"/>
      <c r="Q87" s="59"/>
      <c r="R87" s="59"/>
      <c r="S87" s="59"/>
      <c r="T87" s="59"/>
      <c r="U87" s="59"/>
      <c r="V87" s="59"/>
      <c r="W87" s="59"/>
      <c r="X87" s="59"/>
      <c r="Y87" s="59"/>
      <c r="AC87" s="263"/>
      <c r="AD87" s="338"/>
    </row>
    <row r="88" spans="1:30" s="53" customFormat="1" ht="12">
      <c r="A88" s="44"/>
      <c r="B88" s="250" t="s">
        <v>446</v>
      </c>
      <c r="C88" s="54" t="s">
        <v>410</v>
      </c>
      <c r="D88" s="210"/>
      <c r="E88" s="217"/>
      <c r="F88" s="45">
        <f>F16</f>
        <v>0</v>
      </c>
      <c r="G88" s="45">
        <f t="shared" ref="G88:AC88" si="10">G16</f>
        <v>0</v>
      </c>
      <c r="H88" s="45">
        <f t="shared" si="10"/>
        <v>0</v>
      </c>
      <c r="I88" s="244">
        <f t="shared" si="10"/>
        <v>0</v>
      </c>
      <c r="J88" s="244">
        <f t="shared" si="10"/>
        <v>193.28484159972675</v>
      </c>
      <c r="K88" s="244">
        <f t="shared" si="10"/>
        <v>266.39793833914172</v>
      </c>
      <c r="L88" s="244">
        <f t="shared" si="10"/>
        <v>275.08275454531451</v>
      </c>
      <c r="M88" s="244">
        <f t="shared" si="10"/>
        <v>8.6848162061727532</v>
      </c>
      <c r="N88" s="244">
        <f t="shared" si="10"/>
        <v>283.98017415064777</v>
      </c>
      <c r="O88" s="244">
        <f t="shared" si="10"/>
        <v>284.19277754980834</v>
      </c>
      <c r="P88" s="244">
        <f t="shared" si="10"/>
        <v>284.40538094896885</v>
      </c>
      <c r="Q88" s="244">
        <f t="shared" si="10"/>
        <v>284.61798434812926</v>
      </c>
      <c r="R88" s="244">
        <f t="shared" si="10"/>
        <v>284.83058774728988</v>
      </c>
      <c r="S88" s="244">
        <f t="shared" si="10"/>
        <v>285.04319114645045</v>
      </c>
      <c r="T88" s="244">
        <f t="shared" si="10"/>
        <v>285.25579454561091</v>
      </c>
      <c r="U88" s="244">
        <f t="shared" si="10"/>
        <v>285.46839794477143</v>
      </c>
      <c r="V88" s="244">
        <f t="shared" si="10"/>
        <v>285.681001343932</v>
      </c>
      <c r="W88" s="244">
        <f t="shared" si="10"/>
        <v>285.89360474309245</v>
      </c>
      <c r="X88" s="244">
        <f t="shared" si="10"/>
        <v>288.24986877117834</v>
      </c>
      <c r="Y88" s="244">
        <f t="shared" si="10"/>
        <v>288.4640745919134</v>
      </c>
      <c r="Z88" s="244">
        <f t="shared" si="10"/>
        <v>288.67828041264846</v>
      </c>
      <c r="AA88" s="244">
        <f t="shared" si="10"/>
        <v>288.89248623338352</v>
      </c>
      <c r="AB88" s="244">
        <f t="shared" si="10"/>
        <v>289.10669205411858</v>
      </c>
      <c r="AC88" s="265">
        <f t="shared" si="10"/>
        <v>289.32089787485364</v>
      </c>
      <c r="AD88" s="340">
        <f t="shared" si="5"/>
        <v>5325.5315450971539</v>
      </c>
    </row>
    <row r="89" spans="1:30" s="53" customFormat="1" ht="12">
      <c r="A89" s="44"/>
      <c r="B89" s="70"/>
      <c r="C89" s="63" t="s">
        <v>131</v>
      </c>
      <c r="D89" s="210"/>
      <c r="E89" s="217"/>
      <c r="F89" s="45"/>
      <c r="G89" s="293"/>
      <c r="H89" s="293"/>
      <c r="I89" s="293"/>
      <c r="J89" s="293"/>
      <c r="K89" s="293"/>
      <c r="L89" s="293"/>
      <c r="M89" s="293"/>
      <c r="N89" s="293"/>
      <c r="O89" s="293"/>
      <c r="P89" s="293"/>
      <c r="Q89" s="293"/>
      <c r="R89" s="293"/>
      <c r="S89" s="293"/>
      <c r="T89" s="293"/>
      <c r="U89" s="293"/>
      <c r="V89" s="293"/>
      <c r="W89" s="293"/>
      <c r="X89" s="293"/>
      <c r="Y89" s="293"/>
      <c r="Z89" s="45"/>
      <c r="AA89" s="45"/>
      <c r="AB89" s="45"/>
      <c r="AC89" s="263"/>
      <c r="AD89" s="338"/>
    </row>
    <row r="90" spans="1:30" s="53" customFormat="1" ht="12">
      <c r="A90" s="44"/>
      <c r="B90" s="70"/>
      <c r="C90" s="224" t="s">
        <v>387</v>
      </c>
      <c r="D90" s="210" t="s">
        <v>601</v>
      </c>
      <c r="E90" s="217"/>
      <c r="F90" s="298">
        <f>F63</f>
        <v>0.39100279786137265</v>
      </c>
      <c r="G90" s="298">
        <f t="shared" ref="G90:AC90" si="11">G63</f>
        <v>0.39205714599476826</v>
      </c>
      <c r="H90" s="298">
        <f t="shared" si="11"/>
        <v>0.39311874523828177</v>
      </c>
      <c r="I90" s="298">
        <f t="shared" si="11"/>
        <v>0.39418767065254157</v>
      </c>
      <c r="J90" s="298">
        <f t="shared" si="11"/>
        <v>0.39526399833776032</v>
      </c>
      <c r="K90" s="298">
        <f t="shared" si="11"/>
        <v>0.39634780545179538</v>
      </c>
      <c r="L90" s="298">
        <f t="shared" si="11"/>
        <v>0.39743917022858699</v>
      </c>
      <c r="M90" s="298">
        <f t="shared" si="11"/>
        <v>0.39853817199698321</v>
      </c>
      <c r="N90" s="298">
        <f t="shared" si="11"/>
        <v>0.39964489119996166</v>
      </c>
      <c r="O90" s="298">
        <f t="shared" si="11"/>
        <v>0.40075940941425758</v>
      </c>
      <c r="P90" s="298">
        <f t="shared" si="11"/>
        <v>0.40188180937040846</v>
      </c>
      <c r="Q90" s="298">
        <f t="shared" si="11"/>
        <v>0.40301217497322528</v>
      </c>
      <c r="R90" s="298">
        <f t="shared" si="11"/>
        <v>0.40415059132270104</v>
      </c>
      <c r="S90" s="298">
        <f t="shared" si="11"/>
        <v>0.40529714473536788</v>
      </c>
      <c r="T90" s="298">
        <f t="shared" si="11"/>
        <v>0.40645192276611369</v>
      </c>
      <c r="U90" s="298">
        <f t="shared" si="11"/>
        <v>0.40761501423047014</v>
      </c>
      <c r="V90" s="298">
        <f t="shared" si="11"/>
        <v>0.40878650922738302</v>
      </c>
      <c r="W90" s="298">
        <f t="shared" si="11"/>
        <v>0.40996649916247907</v>
      </c>
      <c r="X90" s="298">
        <f t="shared" si="11"/>
        <v>0.41115507677183999</v>
      </c>
      <c r="Y90" s="298">
        <f t="shared" si="11"/>
        <v>0.41235233614629774</v>
      </c>
      <c r="Z90" s="298">
        <f t="shared" si="11"/>
        <v>0.41355837275626389</v>
      </c>
      <c r="AA90" s="298">
        <f t="shared" si="11"/>
        <v>0.41477328347710757</v>
      </c>
      <c r="AB90" s="298">
        <f t="shared" si="11"/>
        <v>0.415997166615095</v>
      </c>
      <c r="AC90" s="301">
        <f t="shared" si="11"/>
        <v>0.41723012193390652</v>
      </c>
      <c r="AD90" s="345">
        <f t="shared" si="5"/>
        <v>9.6905878298649686</v>
      </c>
    </row>
    <row r="91" spans="1:30" s="53" customFormat="1" ht="12">
      <c r="A91" s="44"/>
      <c r="B91" s="70"/>
      <c r="C91" s="224" t="s">
        <v>404</v>
      </c>
      <c r="D91" s="248">
        <f>D64</f>
        <v>0.38127571701364549</v>
      </c>
      <c r="E91" s="217"/>
      <c r="F91" s="45"/>
      <c r="G91" s="293"/>
      <c r="H91" s="293"/>
      <c r="I91" s="293"/>
      <c r="J91" s="293"/>
      <c r="K91" s="293"/>
      <c r="L91" s="293"/>
      <c r="M91" s="293"/>
      <c r="N91" s="293"/>
      <c r="O91" s="293"/>
      <c r="P91" s="293"/>
      <c r="Q91" s="293"/>
      <c r="R91" s="293"/>
      <c r="S91" s="293"/>
      <c r="T91" s="293"/>
      <c r="U91" s="293"/>
      <c r="V91" s="293"/>
      <c r="W91" s="293"/>
      <c r="X91" s="293"/>
      <c r="Y91" s="293"/>
      <c r="Z91" s="45"/>
      <c r="AA91" s="45"/>
      <c r="AB91" s="45"/>
      <c r="AC91" s="263"/>
      <c r="AD91" s="338"/>
    </row>
    <row r="92" spans="1:30" s="53" customFormat="1" ht="12">
      <c r="A92" s="44"/>
      <c r="B92" s="70"/>
      <c r="C92" s="224" t="s">
        <v>423</v>
      </c>
      <c r="D92" s="210">
        <f>'Mode Operating Assumptions'!C102</f>
        <v>0.17899999999999999</v>
      </c>
      <c r="E92" s="217"/>
      <c r="F92" s="45"/>
      <c r="G92" s="293"/>
      <c r="H92" s="293"/>
      <c r="I92" s="293"/>
      <c r="J92" s="293"/>
      <c r="K92" s="293"/>
      <c r="L92" s="293"/>
      <c r="M92" s="293"/>
      <c r="N92" s="293"/>
      <c r="O92" s="293"/>
      <c r="P92" s="293"/>
      <c r="Q92" s="293"/>
      <c r="R92" s="293"/>
      <c r="S92" s="293"/>
      <c r="T92" s="293"/>
      <c r="U92" s="293"/>
      <c r="V92" s="293"/>
      <c r="W92" s="293"/>
      <c r="X92" s="293"/>
      <c r="Y92" s="293"/>
      <c r="Z92" s="45"/>
      <c r="AA92" s="45"/>
      <c r="AB92" s="45"/>
      <c r="AC92" s="263"/>
      <c r="AD92" s="338"/>
    </row>
    <row r="93" spans="1:30" s="53" customFormat="1" ht="12">
      <c r="A93" s="44"/>
      <c r="B93" s="70"/>
      <c r="C93" s="224" t="s">
        <v>384</v>
      </c>
      <c r="D93" s="253">
        <f>D66</f>
        <v>12.5</v>
      </c>
      <c r="E93" s="217"/>
      <c r="F93" s="45"/>
      <c r="G93" s="293"/>
      <c r="H93" s="293"/>
      <c r="I93" s="293"/>
      <c r="J93" s="293"/>
      <c r="K93" s="293"/>
      <c r="L93" s="293"/>
      <c r="M93" s="293"/>
      <c r="N93" s="293"/>
      <c r="O93" s="293"/>
      <c r="P93" s="293"/>
      <c r="Q93" s="293"/>
      <c r="R93" s="293"/>
      <c r="S93" s="293"/>
      <c r="T93" s="293"/>
      <c r="U93" s="293"/>
      <c r="V93" s="293"/>
      <c r="W93" s="293"/>
      <c r="X93" s="293"/>
      <c r="Y93" s="293"/>
      <c r="Z93" s="45"/>
      <c r="AA93" s="45"/>
      <c r="AB93" s="45"/>
      <c r="AC93" s="263"/>
      <c r="AD93" s="338"/>
    </row>
    <row r="94" spans="1:30" s="53" customFormat="1" ht="12">
      <c r="A94" s="44"/>
      <c r="B94" s="70"/>
      <c r="C94" s="224" t="s">
        <v>385</v>
      </c>
      <c r="D94" s="253">
        <f t="shared" ref="D94" si="12">D67</f>
        <v>12.5</v>
      </c>
      <c r="E94" s="217"/>
      <c r="F94" s="45"/>
      <c r="G94" s="293"/>
      <c r="H94" s="293"/>
      <c r="I94" s="293"/>
      <c r="J94" s="293"/>
      <c r="K94" s="293"/>
      <c r="L94" s="293"/>
      <c r="M94" s="293"/>
      <c r="N94" s="293"/>
      <c r="O94" s="293"/>
      <c r="P94" s="293"/>
      <c r="Q94" s="293"/>
      <c r="R94" s="293"/>
      <c r="S94" s="293"/>
      <c r="T94" s="293"/>
      <c r="U94" s="293"/>
      <c r="V94" s="293"/>
      <c r="W94" s="293"/>
      <c r="X94" s="293"/>
      <c r="Y94" s="293"/>
      <c r="Z94" s="45"/>
      <c r="AA94" s="45"/>
      <c r="AB94" s="45"/>
      <c r="AC94" s="263"/>
      <c r="AD94" s="338"/>
    </row>
    <row r="95" spans="1:30" s="53" customFormat="1" ht="12">
      <c r="A95" s="44"/>
      <c r="B95" s="70"/>
      <c r="C95" s="224" t="s">
        <v>422</v>
      </c>
      <c r="D95" s="253">
        <f>'Mode Operating Assumptions'!C103</f>
        <v>12.5</v>
      </c>
      <c r="E95" s="217"/>
      <c r="F95" s="45"/>
      <c r="G95" s="293"/>
      <c r="H95" s="293"/>
      <c r="I95" s="293"/>
      <c r="J95" s="293"/>
      <c r="K95" s="293"/>
      <c r="L95" s="293"/>
      <c r="M95" s="293"/>
      <c r="N95" s="293"/>
      <c r="O95" s="293"/>
      <c r="P95" s="293"/>
      <c r="Q95" s="293"/>
      <c r="R95" s="293"/>
      <c r="S95" s="293"/>
      <c r="T95" s="293"/>
      <c r="U95" s="293"/>
      <c r="V95" s="293"/>
      <c r="W95" s="293"/>
      <c r="X95" s="293"/>
      <c r="Y95" s="293"/>
      <c r="Z95" s="45"/>
      <c r="AA95" s="45"/>
      <c r="AB95" s="45"/>
      <c r="AC95" s="263"/>
      <c r="AD95" s="338"/>
    </row>
    <row r="96" spans="1:30" s="53" customFormat="1" ht="12">
      <c r="A96" s="44"/>
      <c r="B96" s="70"/>
      <c r="C96" s="78" t="s">
        <v>424</v>
      </c>
      <c r="D96" s="210"/>
      <c r="E96" s="217"/>
      <c r="F96" s="255">
        <f>+(F90*$D$93)-($D$91*$D$94)-($D$92*$D$95)</f>
        <v>-2.1159114894034108</v>
      </c>
      <c r="G96" s="255">
        <f t="shared" ref="G96:AC96" si="13">+(G90*$D$93)-($D$91*$D$94)-($D$92*$D$95)</f>
        <v>-2.1027321377359653</v>
      </c>
      <c r="H96" s="255">
        <f t="shared" si="13"/>
        <v>-2.0894621471920463</v>
      </c>
      <c r="I96" s="255">
        <f t="shared" si="13"/>
        <v>-2.076100579513799</v>
      </c>
      <c r="J96" s="255">
        <f t="shared" si="13"/>
        <v>-2.0626464834485647</v>
      </c>
      <c r="K96" s="255">
        <f t="shared" si="13"/>
        <v>-2.0490988945231265</v>
      </c>
      <c r="L96" s="255">
        <f t="shared" si="13"/>
        <v>-2.0354568348132318</v>
      </c>
      <c r="M96" s="255">
        <f t="shared" si="13"/>
        <v>-2.0217193127082789</v>
      </c>
      <c r="N96" s="255">
        <f t="shared" si="13"/>
        <v>-2.007885322671048</v>
      </c>
      <c r="O96" s="255">
        <f t="shared" si="13"/>
        <v>-1.9939538449923493</v>
      </c>
      <c r="P96" s="255">
        <f t="shared" si="13"/>
        <v>-1.9799238455404629</v>
      </c>
      <c r="Q96" s="255">
        <f t="shared" si="13"/>
        <v>-1.9657942755052531</v>
      </c>
      <c r="R96" s="255">
        <f t="shared" si="13"/>
        <v>-1.9515640711368061</v>
      </c>
      <c r="S96" s="255">
        <f t="shared" si="13"/>
        <v>-1.9372321534784707</v>
      </c>
      <c r="T96" s="255">
        <f t="shared" si="13"/>
        <v>-1.9227974280941478</v>
      </c>
      <c r="U96" s="255">
        <f t="shared" si="13"/>
        <v>-1.9082587847896919</v>
      </c>
      <c r="V96" s="255">
        <f t="shared" si="13"/>
        <v>-1.893615097328281</v>
      </c>
      <c r="W96" s="255">
        <f t="shared" si="13"/>
        <v>-1.8788652231395808</v>
      </c>
      <c r="X96" s="255">
        <f t="shared" si="13"/>
        <v>-1.864008003022569</v>
      </c>
      <c r="Y96" s="255">
        <f t="shared" si="13"/>
        <v>-1.8490422608418466</v>
      </c>
      <c r="Z96" s="255">
        <f t="shared" si="13"/>
        <v>-1.8339668032172698</v>
      </c>
      <c r="AA96" s="255">
        <f t="shared" si="13"/>
        <v>-1.8187804192067238</v>
      </c>
      <c r="AB96" s="255">
        <f t="shared" si="13"/>
        <v>-1.8034818799818808</v>
      </c>
      <c r="AC96" s="268">
        <f t="shared" si="13"/>
        <v>-1.7880699384967373</v>
      </c>
      <c r="AD96" s="346">
        <f t="shared" si="5"/>
        <v>-46.950367230781552</v>
      </c>
    </row>
    <row r="97" spans="1:30">
      <c r="D97" s="210"/>
      <c r="E97" s="217"/>
      <c r="F97" s="255">
        <f>F96*F88</f>
        <v>0</v>
      </c>
      <c r="G97" s="255">
        <f t="shared" ref="G97:AC97" si="14">G96*G88</f>
        <v>0</v>
      </c>
      <c r="H97" s="255">
        <f t="shared" si="14"/>
        <v>0</v>
      </c>
      <c r="I97" s="255">
        <f t="shared" si="14"/>
        <v>0</v>
      </c>
      <c r="J97" s="255">
        <f t="shared" si="14"/>
        <v>-398.67829882958921</v>
      </c>
      <c r="K97" s="255">
        <f t="shared" si="14"/>
        <v>-545.87572095397536</v>
      </c>
      <c r="L97" s="255">
        <f t="shared" si="14"/>
        <v>-559.91907287851109</v>
      </c>
      <c r="M97" s="255">
        <f t="shared" si="14"/>
        <v>-17.5582606513413</v>
      </c>
      <c r="N97" s="255">
        <f t="shared" si="14"/>
        <v>-570.19962360665386</v>
      </c>
      <c r="O97" s="255">
        <f t="shared" si="14"/>
        <v>-566.6672815144957</v>
      </c>
      <c r="P97" s="255">
        <f t="shared" si="14"/>
        <v>-563.10099554088276</v>
      </c>
      <c r="Q97" s="255">
        <f t="shared" si="14"/>
        <v>-559.50040433739616</v>
      </c>
      <c r="R97" s="255">
        <f t="shared" si="14"/>
        <v>-555.86514140839029</v>
      </c>
      <c r="S97" s="255">
        <f t="shared" si="14"/>
        <v>-552.19483501901357</v>
      </c>
      <c r="T97" s="255">
        <f t="shared" si="14"/>
        <v>-548.48910810125324</v>
      </c>
      <c r="U97" s="255">
        <f t="shared" si="14"/>
        <v>-544.74757815794965</v>
      </c>
      <c r="V97" s="255">
        <f t="shared" si="14"/>
        <v>-540.96985716473057</v>
      </c>
      <c r="W97" s="255">
        <f t="shared" si="14"/>
        <v>-537.15555146980955</v>
      </c>
      <c r="X97" s="255">
        <f t="shared" si="14"/>
        <v>-537.30006225968168</v>
      </c>
      <c r="Y97" s="255">
        <f t="shared" si="14"/>
        <v>-533.38226465508262</v>
      </c>
      <c r="Z97" s="255">
        <f t="shared" si="14"/>
        <v>-529.42638308664345</v>
      </c>
      <c r="AA97" s="255">
        <f t="shared" si="14"/>
        <v>-525.43199721722601</v>
      </c>
      <c r="AB97" s="255">
        <f t="shared" si="14"/>
        <v>-521.39868050110442</v>
      </c>
      <c r="AC97" s="268">
        <f t="shared" si="14"/>
        <v>-517.32600006891039</v>
      </c>
      <c r="AD97" s="346">
        <f t="shared" si="5"/>
        <v>-10225.187117422638</v>
      </c>
    </row>
    <row r="98" spans="1:30" s="53" customFormat="1" ht="12">
      <c r="A98" s="44"/>
      <c r="B98" s="70"/>
      <c r="C98" s="62" t="s">
        <v>413</v>
      </c>
      <c r="D98" s="210"/>
      <c r="E98" s="217"/>
      <c r="F98" s="289">
        <f>F97</f>
        <v>0</v>
      </c>
      <c r="G98" s="289">
        <f t="shared" ref="G98:AC98" si="15">G97</f>
        <v>0</v>
      </c>
      <c r="H98" s="289">
        <f t="shared" si="15"/>
        <v>0</v>
      </c>
      <c r="I98" s="289">
        <f t="shared" si="15"/>
        <v>0</v>
      </c>
      <c r="J98" s="289">
        <f t="shared" si="15"/>
        <v>-398.67829882958921</v>
      </c>
      <c r="K98" s="289">
        <f t="shared" si="15"/>
        <v>-545.87572095397536</v>
      </c>
      <c r="L98" s="289">
        <f t="shared" si="15"/>
        <v>-559.91907287851109</v>
      </c>
      <c r="M98" s="289">
        <f t="shared" si="15"/>
        <v>-17.5582606513413</v>
      </c>
      <c r="N98" s="289">
        <f t="shared" si="15"/>
        <v>-570.19962360665386</v>
      </c>
      <c r="O98" s="289">
        <f t="shared" si="15"/>
        <v>-566.6672815144957</v>
      </c>
      <c r="P98" s="289">
        <f t="shared" si="15"/>
        <v>-563.10099554088276</v>
      </c>
      <c r="Q98" s="289">
        <f t="shared" si="15"/>
        <v>-559.50040433739616</v>
      </c>
      <c r="R98" s="289">
        <f t="shared" si="15"/>
        <v>-555.86514140839029</v>
      </c>
      <c r="S98" s="289">
        <f t="shared" si="15"/>
        <v>-552.19483501901357</v>
      </c>
      <c r="T98" s="289">
        <f t="shared" si="15"/>
        <v>-548.48910810125324</v>
      </c>
      <c r="U98" s="289">
        <f t="shared" si="15"/>
        <v>-544.74757815794965</v>
      </c>
      <c r="V98" s="289">
        <f t="shared" si="15"/>
        <v>-540.96985716473057</v>
      </c>
      <c r="W98" s="289">
        <f t="shared" si="15"/>
        <v>-537.15555146980955</v>
      </c>
      <c r="X98" s="289">
        <f t="shared" si="15"/>
        <v>-537.30006225968168</v>
      </c>
      <c r="Y98" s="289">
        <f t="shared" si="15"/>
        <v>-533.38226465508262</v>
      </c>
      <c r="Z98" s="289">
        <f t="shared" si="15"/>
        <v>-529.42638308664345</v>
      </c>
      <c r="AA98" s="289">
        <f t="shared" si="15"/>
        <v>-525.43199721722601</v>
      </c>
      <c r="AB98" s="289">
        <f t="shared" si="15"/>
        <v>-521.39868050110442</v>
      </c>
      <c r="AC98" s="318">
        <f t="shared" si="15"/>
        <v>-517.32600006891039</v>
      </c>
      <c r="AD98" s="347">
        <f t="shared" si="5"/>
        <v>-10225.187117422638</v>
      </c>
    </row>
    <row r="99" spans="1:30" s="53" customFormat="1" ht="12">
      <c r="A99" s="44"/>
      <c r="B99" s="70"/>
      <c r="C99" s="62"/>
      <c r="D99" s="210"/>
      <c r="E99" s="217"/>
      <c r="F99" s="45"/>
      <c r="G99" s="59"/>
      <c r="H99" s="59"/>
      <c r="I99" s="59"/>
      <c r="J99" s="59"/>
      <c r="K99" s="59"/>
      <c r="L99" s="59"/>
      <c r="M99" s="59"/>
      <c r="N99" s="59"/>
      <c r="O99" s="59"/>
      <c r="P99" s="59"/>
      <c r="Q99" s="59"/>
      <c r="R99" s="59"/>
      <c r="S99" s="59"/>
      <c r="T99" s="59"/>
      <c r="U99" s="59"/>
      <c r="V99" s="59"/>
      <c r="W99" s="59"/>
      <c r="X99" s="59"/>
      <c r="Y99" s="59"/>
      <c r="AC99" s="263"/>
      <c r="AD99" s="338"/>
    </row>
    <row r="100" spans="1:30" s="53" customFormat="1" ht="12">
      <c r="A100" s="44"/>
      <c r="B100" s="70"/>
      <c r="C100" s="63" t="s">
        <v>149</v>
      </c>
      <c r="D100" s="210"/>
      <c r="E100" s="217"/>
      <c r="F100" s="45"/>
      <c r="G100" s="59"/>
      <c r="H100" s="59"/>
      <c r="I100" s="59"/>
      <c r="J100" s="59"/>
      <c r="K100" s="59"/>
      <c r="L100" s="59"/>
      <c r="M100" s="59"/>
      <c r="N100" s="59"/>
      <c r="O100" s="59"/>
      <c r="P100" s="59"/>
      <c r="Q100" s="59"/>
      <c r="R100" s="59"/>
      <c r="S100" s="59"/>
      <c r="T100" s="59"/>
      <c r="U100" s="59"/>
      <c r="V100" s="59"/>
      <c r="W100" s="59"/>
      <c r="X100" s="59"/>
      <c r="Y100" s="59"/>
      <c r="AC100" s="263"/>
      <c r="AD100" s="338"/>
    </row>
    <row r="101" spans="1:30" s="53" customFormat="1" ht="12">
      <c r="A101" s="44"/>
      <c r="B101" s="70"/>
      <c r="C101" s="224" t="s">
        <v>430</v>
      </c>
      <c r="D101" s="253">
        <f>D74</f>
        <v>8.1905000000000001</v>
      </c>
      <c r="E101" s="217"/>
      <c r="F101" s="45"/>
      <c r="G101" s="59"/>
      <c r="H101" s="59"/>
      <c r="I101" s="59"/>
      <c r="J101" s="59"/>
      <c r="K101" s="59"/>
      <c r="L101" s="59"/>
      <c r="M101" s="59"/>
      <c r="N101" s="59"/>
      <c r="O101" s="59"/>
      <c r="P101" s="59"/>
      <c r="Q101" s="59"/>
      <c r="R101" s="59"/>
      <c r="S101" s="59"/>
      <c r="T101" s="59"/>
      <c r="U101" s="59"/>
      <c r="V101" s="59"/>
      <c r="W101" s="59"/>
      <c r="X101" s="59"/>
      <c r="Y101" s="59"/>
      <c r="AC101" s="263"/>
      <c r="AD101" s="338"/>
    </row>
    <row r="102" spans="1:30" s="53" customFormat="1" ht="12">
      <c r="A102" s="44"/>
      <c r="B102" s="70"/>
      <c r="C102" s="225" t="s">
        <v>386</v>
      </c>
      <c r="D102" s="253">
        <f t="shared" ref="D102" si="16">D75</f>
        <v>2.107407271835358</v>
      </c>
      <c r="E102" s="217"/>
      <c r="F102" s="45"/>
      <c r="G102" s="59"/>
      <c r="H102" s="59"/>
      <c r="I102" s="59"/>
      <c r="J102" s="59"/>
      <c r="K102" s="59"/>
      <c r="L102" s="59"/>
      <c r="M102" s="59"/>
      <c r="N102" s="59"/>
      <c r="O102" s="59"/>
      <c r="P102" s="59"/>
      <c r="Q102" s="59"/>
      <c r="R102" s="59"/>
      <c r="S102" s="59"/>
      <c r="T102" s="59"/>
      <c r="U102" s="59"/>
      <c r="V102" s="59"/>
      <c r="W102" s="59"/>
      <c r="X102" s="59"/>
      <c r="Y102" s="59"/>
      <c r="AC102" s="263"/>
      <c r="AD102" s="338"/>
    </row>
    <row r="103" spans="1:30" s="53" customFormat="1" ht="12">
      <c r="A103" s="44"/>
      <c r="B103" s="70"/>
      <c r="C103" s="225" t="s">
        <v>398</v>
      </c>
      <c r="D103" s="253">
        <v>0.1</v>
      </c>
      <c r="E103" s="217"/>
      <c r="F103" s="45"/>
      <c r="G103" s="59"/>
      <c r="H103" s="59"/>
      <c r="I103" s="59"/>
      <c r="J103" s="59"/>
      <c r="K103" s="59"/>
      <c r="L103" s="59"/>
      <c r="M103" s="59"/>
      <c r="N103" s="59"/>
      <c r="O103" s="59"/>
      <c r="P103" s="59"/>
      <c r="Q103" s="59"/>
      <c r="R103" s="59"/>
      <c r="S103" s="59"/>
      <c r="T103" s="59"/>
      <c r="U103" s="59"/>
      <c r="V103" s="59"/>
      <c r="W103" s="59"/>
      <c r="X103" s="59"/>
      <c r="Y103" s="59"/>
      <c r="AC103" s="263"/>
      <c r="AD103" s="338"/>
    </row>
    <row r="104" spans="1:30" s="53" customFormat="1" ht="12">
      <c r="A104" s="44"/>
      <c r="B104" s="70"/>
      <c r="C104" s="78" t="s">
        <v>425</v>
      </c>
      <c r="D104" s="253">
        <f>+D101-D102-D103</f>
        <v>5.9830927281646424</v>
      </c>
      <c r="E104" s="217"/>
      <c r="F104" s="233">
        <f t="shared" ref="F104:AC104" si="17">$D104*F88</f>
        <v>0</v>
      </c>
      <c r="G104" s="233">
        <f t="shared" si="17"/>
        <v>0</v>
      </c>
      <c r="H104" s="233">
        <f t="shared" si="17"/>
        <v>0</v>
      </c>
      <c r="I104" s="233">
        <f t="shared" si="17"/>
        <v>0</v>
      </c>
      <c r="J104" s="233">
        <f t="shared" si="17"/>
        <v>1156.4411302397798</v>
      </c>
      <c r="K104" s="233">
        <f t="shared" si="17"/>
        <v>1593.8835676749716</v>
      </c>
      <c r="L104" s="233">
        <f t="shared" si="17"/>
        <v>1645.8456283635705</v>
      </c>
      <c r="M104" s="233">
        <f t="shared" si="17"/>
        <v>51.96206068859864</v>
      </c>
      <c r="N104" s="233">
        <f t="shared" si="17"/>
        <v>1699.0797149036694</v>
      </c>
      <c r="O104" s="233">
        <f t="shared" si="17"/>
        <v>1700.3517407551701</v>
      </c>
      <c r="P104" s="233">
        <f t="shared" si="17"/>
        <v>1701.6237666066704</v>
      </c>
      <c r="Q104" s="233">
        <f t="shared" si="17"/>
        <v>1702.8957924581703</v>
      </c>
      <c r="R104" s="233">
        <f t="shared" si="17"/>
        <v>1704.1678183096712</v>
      </c>
      <c r="S104" s="233">
        <f t="shared" si="17"/>
        <v>1705.439844161172</v>
      </c>
      <c r="T104" s="233">
        <f t="shared" si="17"/>
        <v>1706.7118700126719</v>
      </c>
      <c r="U104" s="233">
        <f t="shared" si="17"/>
        <v>1707.9838958641724</v>
      </c>
      <c r="V104" s="233">
        <f t="shared" si="17"/>
        <v>1709.2559217156729</v>
      </c>
      <c r="W104" s="233">
        <f t="shared" si="17"/>
        <v>1710.527947567173</v>
      </c>
      <c r="X104" s="233">
        <f t="shared" si="17"/>
        <v>1724.6256937392495</v>
      </c>
      <c r="Y104" s="233">
        <f t="shared" si="17"/>
        <v>1725.9073070276202</v>
      </c>
      <c r="Z104" s="233">
        <f t="shared" si="17"/>
        <v>1727.1889203159906</v>
      </c>
      <c r="AA104" s="233">
        <f t="shared" si="17"/>
        <v>1728.470533604361</v>
      </c>
      <c r="AB104" s="233">
        <f t="shared" si="17"/>
        <v>1729.7521468927316</v>
      </c>
      <c r="AC104" s="266">
        <f t="shared" si="17"/>
        <v>1731.033760181102</v>
      </c>
      <c r="AD104" s="348">
        <f t="shared" si="5"/>
        <v>31863.149061082197</v>
      </c>
    </row>
    <row r="105" spans="1:30" s="53" customFormat="1" ht="12">
      <c r="A105" s="44"/>
      <c r="C105" s="62" t="s">
        <v>414</v>
      </c>
      <c r="D105" s="210"/>
      <c r="E105" s="217"/>
      <c r="F105" s="285">
        <f>F104</f>
        <v>0</v>
      </c>
      <c r="G105" s="285">
        <f t="shared" ref="G105:AC105" si="18">G104</f>
        <v>0</v>
      </c>
      <c r="H105" s="285">
        <f t="shared" si="18"/>
        <v>0</v>
      </c>
      <c r="I105" s="285">
        <f t="shared" si="18"/>
        <v>0</v>
      </c>
      <c r="J105" s="285">
        <f t="shared" si="18"/>
        <v>1156.4411302397798</v>
      </c>
      <c r="K105" s="285">
        <f t="shared" si="18"/>
        <v>1593.8835676749716</v>
      </c>
      <c r="L105" s="285">
        <f t="shared" si="18"/>
        <v>1645.8456283635705</v>
      </c>
      <c r="M105" s="285">
        <f t="shared" si="18"/>
        <v>51.96206068859864</v>
      </c>
      <c r="N105" s="285">
        <f t="shared" si="18"/>
        <v>1699.0797149036694</v>
      </c>
      <c r="O105" s="285">
        <f t="shared" si="18"/>
        <v>1700.3517407551701</v>
      </c>
      <c r="P105" s="285">
        <f t="shared" si="18"/>
        <v>1701.6237666066704</v>
      </c>
      <c r="Q105" s="285">
        <f t="shared" si="18"/>
        <v>1702.8957924581703</v>
      </c>
      <c r="R105" s="285">
        <f t="shared" si="18"/>
        <v>1704.1678183096712</v>
      </c>
      <c r="S105" s="285">
        <f t="shared" si="18"/>
        <v>1705.439844161172</v>
      </c>
      <c r="T105" s="285">
        <f t="shared" si="18"/>
        <v>1706.7118700126719</v>
      </c>
      <c r="U105" s="285">
        <f t="shared" si="18"/>
        <v>1707.9838958641724</v>
      </c>
      <c r="V105" s="285">
        <f t="shared" si="18"/>
        <v>1709.2559217156729</v>
      </c>
      <c r="W105" s="285">
        <f t="shared" si="18"/>
        <v>1710.527947567173</v>
      </c>
      <c r="X105" s="285">
        <f t="shared" si="18"/>
        <v>1724.6256937392495</v>
      </c>
      <c r="Y105" s="285">
        <f t="shared" si="18"/>
        <v>1725.9073070276202</v>
      </c>
      <c r="Z105" s="285">
        <f t="shared" si="18"/>
        <v>1727.1889203159906</v>
      </c>
      <c r="AA105" s="285">
        <f t="shared" si="18"/>
        <v>1728.470533604361</v>
      </c>
      <c r="AB105" s="285">
        <f t="shared" si="18"/>
        <v>1729.7521468927316</v>
      </c>
      <c r="AC105" s="286">
        <f t="shared" si="18"/>
        <v>1731.033760181102</v>
      </c>
      <c r="AD105" s="349">
        <f t="shared" si="5"/>
        <v>31863.149061082197</v>
      </c>
    </row>
    <row r="106" spans="1:30" s="53" customFormat="1" ht="12">
      <c r="A106" s="44"/>
      <c r="B106" s="70"/>
      <c r="D106" s="210"/>
      <c r="E106" s="217"/>
      <c r="F106" s="45"/>
      <c r="G106" s="59"/>
      <c r="H106" s="59"/>
      <c r="I106" s="59"/>
      <c r="J106" s="59"/>
      <c r="K106" s="59"/>
      <c r="L106" s="59"/>
      <c r="M106" s="59"/>
      <c r="N106" s="59"/>
      <c r="O106" s="59"/>
      <c r="P106" s="59"/>
      <c r="Q106" s="59"/>
      <c r="R106" s="59"/>
      <c r="S106" s="59"/>
      <c r="T106" s="59"/>
      <c r="U106" s="59"/>
      <c r="V106" s="59"/>
      <c r="W106" s="59"/>
      <c r="X106" s="59"/>
      <c r="Y106" s="59"/>
      <c r="AC106" s="263"/>
      <c r="AD106" s="338"/>
    </row>
    <row r="107" spans="1:30" s="53" customFormat="1" ht="12">
      <c r="A107" s="44"/>
      <c r="B107" s="5" t="s">
        <v>397</v>
      </c>
      <c r="D107" s="210"/>
      <c r="E107" s="217"/>
      <c r="F107" s="59"/>
      <c r="G107" s="59"/>
      <c r="H107" s="59"/>
      <c r="I107" s="59"/>
      <c r="J107" s="59"/>
      <c r="K107" s="59"/>
      <c r="L107" s="59"/>
      <c r="M107" s="59"/>
      <c r="N107" s="59"/>
      <c r="O107" s="59"/>
      <c r="P107" s="59"/>
      <c r="Q107" s="59"/>
      <c r="R107" s="59"/>
      <c r="S107" s="59"/>
      <c r="T107" s="59"/>
      <c r="U107" s="59"/>
      <c r="V107" s="59"/>
      <c r="W107" s="59"/>
      <c r="X107" s="59"/>
      <c r="Y107" s="59"/>
      <c r="AC107" s="263"/>
      <c r="AD107" s="338"/>
    </row>
    <row r="108" spans="1:30" s="53" customFormat="1" ht="12">
      <c r="A108" s="44"/>
      <c r="B108" s="70" t="s">
        <v>447</v>
      </c>
      <c r="C108" s="47" t="s">
        <v>95</v>
      </c>
      <c r="D108" s="210"/>
      <c r="E108" s="217"/>
      <c r="F108" s="59">
        <f>F20</f>
        <v>0</v>
      </c>
      <c r="G108" s="59">
        <f t="shared" ref="G108:AC108" si="19">G20</f>
        <v>0</v>
      </c>
      <c r="H108" s="59">
        <f t="shared" si="19"/>
        <v>0</v>
      </c>
      <c r="I108" s="59">
        <f t="shared" si="19"/>
        <v>0</v>
      </c>
      <c r="J108" s="59">
        <f t="shared" si="19"/>
        <v>6750</v>
      </c>
      <c r="K108" s="59">
        <f t="shared" si="19"/>
        <v>9216.25</v>
      </c>
      <c r="L108" s="59">
        <f t="shared" si="19"/>
        <v>9308.4125000000004</v>
      </c>
      <c r="M108" s="59">
        <f t="shared" si="19"/>
        <v>9401.4966250000016</v>
      </c>
      <c r="N108" s="59">
        <f t="shared" si="19"/>
        <v>9495.5115912500005</v>
      </c>
      <c r="O108" s="59">
        <f t="shared" si="19"/>
        <v>9590.466707162499</v>
      </c>
      <c r="P108" s="59">
        <f t="shared" si="19"/>
        <v>9686.3713742341261</v>
      </c>
      <c r="Q108" s="59">
        <f t="shared" si="19"/>
        <v>9783.235087976469</v>
      </c>
      <c r="R108" s="59">
        <f t="shared" si="19"/>
        <v>9881.0674388562329</v>
      </c>
      <c r="S108" s="59">
        <f t="shared" si="19"/>
        <v>9979.8781132447948</v>
      </c>
      <c r="T108" s="59">
        <f t="shared" si="19"/>
        <v>10079.676894377242</v>
      </c>
      <c r="U108" s="59">
        <f t="shared" si="19"/>
        <v>10180.473663321014</v>
      </c>
      <c r="V108" s="59">
        <f t="shared" si="19"/>
        <v>10282.278399954226</v>
      </c>
      <c r="W108" s="59">
        <f t="shared" si="19"/>
        <v>10385.101183953768</v>
      </c>
      <c r="X108" s="59">
        <f t="shared" si="19"/>
        <v>10488.952195793305</v>
      </c>
      <c r="Y108" s="59">
        <f t="shared" si="19"/>
        <v>10593.841717751238</v>
      </c>
      <c r="Z108" s="59">
        <f t="shared" si="19"/>
        <v>10699.780134928751</v>
      </c>
      <c r="AA108" s="59">
        <f t="shared" si="19"/>
        <v>10806.777936278038</v>
      </c>
      <c r="AB108" s="59">
        <f t="shared" si="19"/>
        <v>10914.845715640819</v>
      </c>
      <c r="AC108" s="264">
        <f t="shared" si="19"/>
        <v>11023.994172797227</v>
      </c>
      <c r="AD108" s="339">
        <f t="shared" si="5"/>
        <v>198548.41145251971</v>
      </c>
    </row>
    <row r="109" spans="1:30" s="53" customFormat="1" ht="12">
      <c r="A109" s="44"/>
      <c r="B109" s="70"/>
      <c r="C109" s="47" t="s">
        <v>96</v>
      </c>
      <c r="D109" s="210"/>
      <c r="E109" s="217"/>
      <c r="F109" s="59">
        <f t="shared" ref="F109:AC109" si="20">F21</f>
        <v>0</v>
      </c>
      <c r="G109" s="59">
        <f t="shared" si="20"/>
        <v>0</v>
      </c>
      <c r="H109" s="59">
        <f t="shared" si="20"/>
        <v>0</v>
      </c>
      <c r="I109" s="59">
        <f t="shared" si="20"/>
        <v>0</v>
      </c>
      <c r="J109" s="59">
        <f t="shared" si="20"/>
        <v>3375</v>
      </c>
      <c r="K109" s="59">
        <f t="shared" si="20"/>
        <v>4608.125</v>
      </c>
      <c r="L109" s="59">
        <f t="shared" si="20"/>
        <v>4654.2062500000002</v>
      </c>
      <c r="M109" s="59">
        <f t="shared" si="20"/>
        <v>4700.7483125000008</v>
      </c>
      <c r="N109" s="59">
        <f t="shared" si="20"/>
        <v>4747.7557956250002</v>
      </c>
      <c r="O109" s="59">
        <f t="shared" si="20"/>
        <v>4795.2333535812495</v>
      </c>
      <c r="P109" s="59">
        <f t="shared" si="20"/>
        <v>4843.185687117063</v>
      </c>
      <c r="Q109" s="59">
        <f t="shared" si="20"/>
        <v>4891.6175439882345</v>
      </c>
      <c r="R109" s="59">
        <f t="shared" si="20"/>
        <v>4940.5337194281165</v>
      </c>
      <c r="S109" s="59">
        <f t="shared" si="20"/>
        <v>4989.9390566223974</v>
      </c>
      <c r="T109" s="59">
        <f t="shared" si="20"/>
        <v>5039.8384471886211</v>
      </c>
      <c r="U109" s="59">
        <f t="shared" si="20"/>
        <v>5090.2368316605071</v>
      </c>
      <c r="V109" s="59">
        <f t="shared" si="20"/>
        <v>5141.1391999771131</v>
      </c>
      <c r="W109" s="59">
        <f t="shared" si="20"/>
        <v>5192.5505919768839</v>
      </c>
      <c r="X109" s="59">
        <f t="shared" si="20"/>
        <v>5244.4760978966524</v>
      </c>
      <c r="Y109" s="59">
        <f t="shared" si="20"/>
        <v>5296.9208588756192</v>
      </c>
      <c r="Z109" s="59">
        <f t="shared" si="20"/>
        <v>5349.8900674643755</v>
      </c>
      <c r="AA109" s="59">
        <f t="shared" si="20"/>
        <v>5403.3889681390192</v>
      </c>
      <c r="AB109" s="59">
        <f t="shared" si="20"/>
        <v>5457.4228578204093</v>
      </c>
      <c r="AC109" s="264">
        <f t="shared" si="20"/>
        <v>5511.9970863986136</v>
      </c>
      <c r="AD109" s="339">
        <f t="shared" si="5"/>
        <v>99274.205726259854</v>
      </c>
    </row>
    <row r="110" spans="1:30" s="53" customFormat="1" ht="12">
      <c r="A110" s="44"/>
      <c r="B110" s="70"/>
      <c r="C110" s="47" t="s">
        <v>148</v>
      </c>
      <c r="D110" s="210"/>
      <c r="E110" s="217"/>
      <c r="F110" s="59">
        <f t="shared" ref="F110:AC110" si="21">F22</f>
        <v>0</v>
      </c>
      <c r="G110" s="59">
        <f t="shared" si="21"/>
        <v>0</v>
      </c>
      <c r="H110" s="59">
        <f t="shared" si="21"/>
        <v>0</v>
      </c>
      <c r="I110" s="59">
        <f t="shared" si="21"/>
        <v>0</v>
      </c>
      <c r="J110" s="59">
        <f t="shared" si="21"/>
        <v>3375</v>
      </c>
      <c r="K110" s="59">
        <f t="shared" si="21"/>
        <v>4608.125</v>
      </c>
      <c r="L110" s="59">
        <f t="shared" si="21"/>
        <v>4654.2062500000002</v>
      </c>
      <c r="M110" s="59">
        <f t="shared" si="21"/>
        <v>4700.7483125000008</v>
      </c>
      <c r="N110" s="59">
        <f t="shared" si="21"/>
        <v>4747.7557956250002</v>
      </c>
      <c r="O110" s="59">
        <f t="shared" si="21"/>
        <v>4795.2333535812495</v>
      </c>
      <c r="P110" s="59">
        <f t="shared" si="21"/>
        <v>4843.185687117063</v>
      </c>
      <c r="Q110" s="59">
        <f t="shared" si="21"/>
        <v>4891.6175439882345</v>
      </c>
      <c r="R110" s="59">
        <f t="shared" si="21"/>
        <v>4940.5337194281165</v>
      </c>
      <c r="S110" s="59">
        <f t="shared" si="21"/>
        <v>4989.9390566223974</v>
      </c>
      <c r="T110" s="59">
        <f t="shared" si="21"/>
        <v>5039.8384471886211</v>
      </c>
      <c r="U110" s="59">
        <f t="shared" si="21"/>
        <v>5090.2368316605071</v>
      </c>
      <c r="V110" s="59">
        <f t="shared" si="21"/>
        <v>5141.1391999771131</v>
      </c>
      <c r="W110" s="59">
        <f t="shared" si="21"/>
        <v>5192.5505919768839</v>
      </c>
      <c r="X110" s="59">
        <f t="shared" si="21"/>
        <v>5244.4760978966524</v>
      </c>
      <c r="Y110" s="59">
        <f t="shared" si="21"/>
        <v>5296.9208588756192</v>
      </c>
      <c r="Z110" s="59">
        <f t="shared" si="21"/>
        <v>5349.8900674643755</v>
      </c>
      <c r="AA110" s="59">
        <f t="shared" si="21"/>
        <v>5403.3889681390192</v>
      </c>
      <c r="AB110" s="59">
        <f t="shared" si="21"/>
        <v>5457.4228578204093</v>
      </c>
      <c r="AC110" s="264">
        <f t="shared" si="21"/>
        <v>5511.9970863986136</v>
      </c>
      <c r="AD110" s="339">
        <f t="shared" si="5"/>
        <v>99274.205726259854</v>
      </c>
    </row>
    <row r="111" spans="1:30" s="53" customFormat="1" ht="12">
      <c r="A111" s="44"/>
      <c r="B111" s="70"/>
      <c r="C111" s="78" t="s">
        <v>421</v>
      </c>
      <c r="D111" s="210"/>
      <c r="E111" s="217"/>
      <c r="F111" s="59">
        <f t="shared" ref="F111:AC111" si="22">F23</f>
        <v>0</v>
      </c>
      <c r="G111" s="59">
        <f t="shared" si="22"/>
        <v>0</v>
      </c>
      <c r="H111" s="59">
        <f t="shared" si="22"/>
        <v>0</v>
      </c>
      <c r="I111" s="59">
        <f t="shared" si="22"/>
        <v>0</v>
      </c>
      <c r="J111" s="59">
        <f t="shared" si="22"/>
        <v>10125</v>
      </c>
      <c r="K111" s="59">
        <f t="shared" si="22"/>
        <v>13824.375</v>
      </c>
      <c r="L111" s="59">
        <f t="shared" si="22"/>
        <v>13962.61875</v>
      </c>
      <c r="M111" s="59">
        <f t="shared" si="22"/>
        <v>14102.244937500001</v>
      </c>
      <c r="N111" s="59">
        <f t="shared" si="22"/>
        <v>14243.267386874999</v>
      </c>
      <c r="O111" s="59">
        <f t="shared" si="22"/>
        <v>14385.700060743749</v>
      </c>
      <c r="P111" s="59">
        <f t="shared" si="22"/>
        <v>14529.55706135119</v>
      </c>
      <c r="Q111" s="59">
        <f t="shared" si="22"/>
        <v>14674.852631964701</v>
      </c>
      <c r="R111" s="59">
        <f t="shared" si="22"/>
        <v>14821.601158284346</v>
      </c>
      <c r="S111" s="59">
        <f t="shared" si="22"/>
        <v>14969.81716986719</v>
      </c>
      <c r="T111" s="59">
        <f t="shared" si="22"/>
        <v>15119.515341565862</v>
      </c>
      <c r="U111" s="59">
        <f t="shared" si="22"/>
        <v>15270.71049498152</v>
      </c>
      <c r="V111" s="59">
        <f t="shared" si="22"/>
        <v>15423.417599931337</v>
      </c>
      <c r="W111" s="59">
        <f t="shared" si="22"/>
        <v>15577.651775930648</v>
      </c>
      <c r="X111" s="59">
        <f t="shared" si="22"/>
        <v>15733.428293689956</v>
      </c>
      <c r="Y111" s="59">
        <f t="shared" si="22"/>
        <v>15890.762576626857</v>
      </c>
      <c r="Z111" s="59">
        <f t="shared" si="22"/>
        <v>16049.670202393125</v>
      </c>
      <c r="AA111" s="59">
        <f t="shared" si="22"/>
        <v>16210.166904417056</v>
      </c>
      <c r="AB111" s="59">
        <f t="shared" si="22"/>
        <v>16372.268573461224</v>
      </c>
      <c r="AC111" s="264">
        <f t="shared" si="22"/>
        <v>16535.991259195838</v>
      </c>
      <c r="AD111" s="339">
        <f t="shared" si="5"/>
        <v>297822.61717877962</v>
      </c>
    </row>
    <row r="112" spans="1:30" s="53" customFormat="1" ht="12">
      <c r="A112" s="44"/>
      <c r="B112" s="70" t="s">
        <v>446</v>
      </c>
      <c r="C112" s="78" t="s">
        <v>426</v>
      </c>
      <c r="D112" s="210"/>
      <c r="E112" s="217"/>
      <c r="F112" s="59">
        <f t="shared" ref="F112:AC112" si="23">F25</f>
        <v>0</v>
      </c>
      <c r="G112" s="59">
        <f t="shared" si="23"/>
        <v>0</v>
      </c>
      <c r="H112" s="59">
        <f t="shared" si="23"/>
        <v>0</v>
      </c>
      <c r="I112" s="59">
        <f t="shared" si="23"/>
        <v>0</v>
      </c>
      <c r="J112" s="59">
        <f t="shared" si="23"/>
        <v>16875</v>
      </c>
      <c r="K112" s="59">
        <f t="shared" si="23"/>
        <v>23040.625</v>
      </c>
      <c r="L112" s="59">
        <f t="shared" si="23"/>
        <v>23271.03125</v>
      </c>
      <c r="M112" s="59">
        <f t="shared" si="23"/>
        <v>23503.741562500003</v>
      </c>
      <c r="N112" s="59">
        <f t="shared" si="23"/>
        <v>23738.778978124999</v>
      </c>
      <c r="O112" s="59">
        <f t="shared" si="23"/>
        <v>23976.166767906248</v>
      </c>
      <c r="P112" s="59">
        <f t="shared" si="23"/>
        <v>24215.928435585316</v>
      </c>
      <c r="Q112" s="59">
        <f t="shared" si="23"/>
        <v>24458.08771994117</v>
      </c>
      <c r="R112" s="59">
        <f t="shared" si="23"/>
        <v>24702.668597140579</v>
      </c>
      <c r="S112" s="59">
        <f t="shared" si="23"/>
        <v>24949.695283111985</v>
      </c>
      <c r="T112" s="59">
        <f t="shared" si="23"/>
        <v>25199.192235943105</v>
      </c>
      <c r="U112" s="59">
        <f t="shared" si="23"/>
        <v>25451.184158302534</v>
      </c>
      <c r="V112" s="59">
        <f t="shared" si="23"/>
        <v>25705.695999885564</v>
      </c>
      <c r="W112" s="59">
        <f t="shared" si="23"/>
        <v>25962.752959884416</v>
      </c>
      <c r="X112" s="59">
        <f t="shared" si="23"/>
        <v>26222.380489483261</v>
      </c>
      <c r="Y112" s="59">
        <f t="shared" si="23"/>
        <v>26484.604294378096</v>
      </c>
      <c r="Z112" s="59">
        <f t="shared" si="23"/>
        <v>26749.450337321876</v>
      </c>
      <c r="AA112" s="59">
        <f t="shared" si="23"/>
        <v>27016.944840695094</v>
      </c>
      <c r="AB112" s="59">
        <f t="shared" si="23"/>
        <v>27287.114289102043</v>
      </c>
      <c r="AC112" s="264">
        <f t="shared" si="23"/>
        <v>27559.985431993067</v>
      </c>
      <c r="AD112" s="339">
        <f t="shared" si="5"/>
        <v>496371.02863129927</v>
      </c>
    </row>
    <row r="113" spans="1:30" s="53" customFormat="1" ht="12">
      <c r="A113" s="44"/>
      <c r="B113" s="70"/>
      <c r="C113" s="78"/>
      <c r="D113" s="210"/>
      <c r="E113" s="217"/>
      <c r="F113" s="59"/>
      <c r="G113" s="59"/>
      <c r="H113" s="59"/>
      <c r="I113" s="59"/>
      <c r="J113" s="59"/>
      <c r="K113" s="59"/>
      <c r="L113" s="59"/>
      <c r="M113" s="59"/>
      <c r="N113" s="59"/>
      <c r="O113" s="59"/>
      <c r="P113" s="59"/>
      <c r="Q113" s="59"/>
      <c r="R113" s="59"/>
      <c r="S113" s="59"/>
      <c r="T113" s="59"/>
      <c r="U113" s="59"/>
      <c r="V113" s="59"/>
      <c r="W113" s="59"/>
      <c r="X113" s="59"/>
      <c r="Y113" s="59"/>
      <c r="AC113" s="263"/>
      <c r="AD113" s="338"/>
    </row>
    <row r="114" spans="1:30" s="53" customFormat="1" ht="12">
      <c r="A114" s="44"/>
      <c r="B114" s="70" t="s">
        <v>399</v>
      </c>
      <c r="C114" s="63" t="s">
        <v>131</v>
      </c>
      <c r="D114" s="210"/>
      <c r="E114" s="217"/>
      <c r="F114" s="293"/>
      <c r="G114" s="293"/>
      <c r="H114" s="293"/>
      <c r="I114" s="293"/>
      <c r="J114" s="293"/>
      <c r="K114" s="293"/>
      <c r="L114" s="293"/>
      <c r="M114" s="293"/>
      <c r="N114" s="293"/>
      <c r="O114" s="293"/>
      <c r="P114" s="293"/>
      <c r="Q114" s="293"/>
      <c r="R114" s="293"/>
      <c r="S114" s="293"/>
      <c r="T114" s="293"/>
      <c r="U114" s="293"/>
      <c r="V114" s="293"/>
      <c r="W114" s="293"/>
      <c r="X114" s="293"/>
      <c r="Y114" s="293"/>
      <c r="Z114" s="45"/>
      <c r="AA114" s="45"/>
      <c r="AB114" s="45"/>
      <c r="AC114" s="263"/>
      <c r="AD114" s="338"/>
    </row>
    <row r="115" spans="1:30" s="53" customFormat="1" ht="12">
      <c r="A115" s="44"/>
      <c r="B115" s="70" t="s">
        <v>447</v>
      </c>
      <c r="C115" s="224" t="s">
        <v>454</v>
      </c>
      <c r="D115" s="210" t="s">
        <v>601</v>
      </c>
      <c r="E115" s="217"/>
      <c r="F115" s="300">
        <f>'Mode Operating Assumptions'!D20</f>
        <v>0.16806077048797802</v>
      </c>
      <c r="G115" s="300">
        <f>'Mode Operating Assumptions'!E20</f>
        <v>0.16835112174317465</v>
      </c>
      <c r="H115" s="300">
        <f>'Mode Operating Assumptions'!F20</f>
        <v>0.16864346984254222</v>
      </c>
      <c r="I115" s="300">
        <f>'Mode Operating Assumptions'!G20</f>
        <v>0.168937835456623</v>
      </c>
      <c r="J115" s="300">
        <f>'Mode Operating Assumptions'!H20</f>
        <v>0.16923423954224476</v>
      </c>
      <c r="K115" s="300">
        <f>'Mode Operating Assumptions'!I20</f>
        <v>0.16953270334749443</v>
      </c>
      <c r="L115" s="300">
        <f>'Mode Operating Assumptions'!J20</f>
        <v>0.16983324841679548</v>
      </c>
      <c r="M115" s="300">
        <f>'Mode Operating Assumptions'!K20</f>
        <v>0.1701358965960923</v>
      </c>
      <c r="N115" s="300">
        <f>'Mode Operating Assumptions'!L20</f>
        <v>0.17044067003814328</v>
      </c>
      <c r="O115" s="300">
        <f>'Mode Operating Assumptions'!M20</f>
        <v>0.17074759120792632</v>
      </c>
      <c r="P115" s="300">
        <f>'Mode Operating Assumptions'!N20</f>
        <v>0.17105668288815862</v>
      </c>
      <c r="Q115" s="300">
        <f>'Mode Operating Assumptions'!O20</f>
        <v>0.17136796818493436</v>
      </c>
      <c r="R115" s="300">
        <f>'Mode Operating Assumptions'!P20</f>
        <v>0.17168147053348229</v>
      </c>
      <c r="S115" s="300">
        <f>'Mode Operating Assumptions'!Q20</f>
        <v>0.17199721370404747</v>
      </c>
      <c r="T115" s="300">
        <f>'Mode Operating Assumptions'!R20</f>
        <v>0.17231522180789902</v>
      </c>
      <c r="U115" s="300">
        <f>'Mode Operating Assumptions'!S20</f>
        <v>0.17263551930346793</v>
      </c>
      <c r="V115" s="300">
        <f>'Mode Operating Assumptions'!T20</f>
        <v>0.17295813100261781</v>
      </c>
      <c r="W115" s="300">
        <f>'Mode Operating Assumptions'!U20</f>
        <v>0.17328308207705193</v>
      </c>
      <c r="X115" s="300">
        <f>'Mode Operating Assumptions'!V20</f>
        <v>0.17361039806486056</v>
      </c>
      <c r="Y115" s="300">
        <f>'Mode Operating Assumptions'!W20</f>
        <v>0.17394010487721123</v>
      </c>
      <c r="Z115" s="300">
        <f>'Mode Operating Assumptions'!X20</f>
        <v>0.17427222880518653</v>
      </c>
      <c r="AA115" s="300">
        <f>'Mode Operating Assumptions'!Y20</f>
        <v>0.17460679652677269</v>
      </c>
      <c r="AB115" s="300">
        <f>'Mode Operating Assumptions'!Z20</f>
        <v>0.17494383511400308</v>
      </c>
      <c r="AC115" s="302">
        <f>'Mode Operating Assumptions'!AA20</f>
        <v>0.1752833720402604</v>
      </c>
      <c r="AD115" s="350">
        <f t="shared" si="5"/>
        <v>4.1178695716089688</v>
      </c>
    </row>
    <row r="116" spans="1:30">
      <c r="C116" s="224" t="s">
        <v>496</v>
      </c>
      <c r="D116" s="248">
        <f>'Mode Operating Assumptions'!C142</f>
        <v>0.20730027548209368</v>
      </c>
      <c r="E116" s="217"/>
      <c r="G116" s="294"/>
      <c r="H116" s="25"/>
      <c r="I116" s="25"/>
      <c r="J116" s="25"/>
      <c r="K116" s="25"/>
      <c r="L116" s="25"/>
      <c r="M116" s="25"/>
      <c r="N116" s="25"/>
      <c r="O116" s="25"/>
      <c r="P116" s="25"/>
      <c r="Q116" s="25"/>
      <c r="R116" s="25"/>
      <c r="S116" s="25"/>
      <c r="T116" s="25"/>
      <c r="U116" s="25"/>
      <c r="V116" s="25"/>
      <c r="W116" s="25"/>
      <c r="X116" s="25"/>
      <c r="Y116" s="25"/>
      <c r="Z116" s="25"/>
      <c r="AA116" s="25"/>
      <c r="AB116" s="25"/>
      <c r="AC116" s="261"/>
    </row>
    <row r="117" spans="1:30" s="53" customFormat="1" ht="12">
      <c r="A117" s="44"/>
      <c r="B117" s="70"/>
      <c r="C117" s="224" t="s">
        <v>445</v>
      </c>
      <c r="D117" s="248">
        <f>D65</f>
        <v>0.234375</v>
      </c>
      <c r="E117" s="217"/>
      <c r="F117" s="293"/>
      <c r="G117" s="293"/>
      <c r="H117" s="293"/>
      <c r="I117" s="293"/>
      <c r="J117" s="293"/>
      <c r="K117" s="293"/>
      <c r="L117" s="293"/>
      <c r="M117" s="293"/>
      <c r="N117" s="293"/>
      <c r="O117" s="293"/>
      <c r="P117" s="293"/>
      <c r="Q117" s="293"/>
      <c r="R117" s="293"/>
      <c r="S117" s="293"/>
      <c r="T117" s="293"/>
      <c r="U117" s="293"/>
      <c r="V117" s="293"/>
      <c r="W117" s="293"/>
      <c r="X117" s="293"/>
      <c r="Y117" s="293"/>
      <c r="Z117" s="45"/>
      <c r="AA117" s="45"/>
      <c r="AB117" s="45"/>
      <c r="AC117" s="263"/>
      <c r="AD117" s="338"/>
    </row>
    <row r="118" spans="1:30" s="53" customFormat="1" ht="12">
      <c r="A118" s="44"/>
      <c r="B118" s="70"/>
      <c r="C118" s="224" t="s">
        <v>405</v>
      </c>
      <c r="D118" s="248">
        <f>'Mode Operating Assumptions'!C52</f>
        <v>0.234375</v>
      </c>
      <c r="E118" s="217"/>
      <c r="F118" s="293"/>
      <c r="G118" s="293"/>
      <c r="H118" s="293"/>
      <c r="I118" s="293"/>
      <c r="J118" s="293"/>
      <c r="K118" s="293"/>
      <c r="L118" s="293"/>
      <c r="M118" s="293"/>
      <c r="N118" s="293"/>
      <c r="O118" s="293"/>
      <c r="P118" s="293"/>
      <c r="Q118" s="293"/>
      <c r="R118" s="293"/>
      <c r="S118" s="293"/>
      <c r="T118" s="293"/>
      <c r="U118" s="293"/>
      <c r="V118" s="293"/>
      <c r="W118" s="293"/>
      <c r="X118" s="293"/>
      <c r="Y118" s="293"/>
      <c r="Z118" s="45"/>
      <c r="AA118" s="45"/>
      <c r="AB118" s="45"/>
      <c r="AC118" s="263"/>
      <c r="AD118" s="338"/>
    </row>
    <row r="119" spans="1:30" s="53" customFormat="1" ht="12">
      <c r="A119" s="44"/>
      <c r="C119" s="224" t="s">
        <v>384</v>
      </c>
      <c r="D119" s="253">
        <f>'Mode Operating Assumptions'!C21</f>
        <v>12.5</v>
      </c>
      <c r="E119" s="217"/>
      <c r="F119" s="293"/>
      <c r="G119" s="293"/>
      <c r="H119" s="293"/>
      <c r="I119" s="293"/>
      <c r="J119" s="293"/>
      <c r="K119" s="293"/>
      <c r="L119" s="293"/>
      <c r="M119" s="293"/>
      <c r="N119" s="293"/>
      <c r="O119" s="293"/>
      <c r="P119" s="293"/>
      <c r="Q119" s="293"/>
      <c r="R119" s="293"/>
      <c r="S119" s="293"/>
      <c r="T119" s="293"/>
      <c r="U119" s="293"/>
      <c r="V119" s="293"/>
      <c r="W119" s="293"/>
      <c r="X119" s="293"/>
      <c r="Y119" s="293"/>
      <c r="Z119" s="45"/>
      <c r="AA119" s="45"/>
      <c r="AB119" s="45"/>
      <c r="AC119" s="263"/>
      <c r="AD119" s="338"/>
    </row>
    <row r="120" spans="1:30" s="53" customFormat="1" ht="12">
      <c r="A120" s="44"/>
      <c r="B120" s="70"/>
      <c r="C120" s="224" t="s">
        <v>385</v>
      </c>
      <c r="D120" s="253">
        <f>'Mode Operating Assumptions'!C143</f>
        <v>12.5</v>
      </c>
      <c r="E120" s="217"/>
      <c r="F120" s="293"/>
      <c r="G120" s="293"/>
      <c r="H120" s="293"/>
      <c r="I120" s="293"/>
      <c r="J120" s="293"/>
      <c r="K120" s="293"/>
      <c r="L120" s="293"/>
      <c r="M120" s="293"/>
      <c r="N120" s="293"/>
      <c r="O120" s="293"/>
      <c r="P120" s="293"/>
      <c r="Q120" s="293"/>
      <c r="R120" s="293"/>
      <c r="S120" s="293"/>
      <c r="T120" s="293"/>
      <c r="U120" s="293"/>
      <c r="V120" s="293"/>
      <c r="W120" s="293"/>
      <c r="X120" s="293"/>
      <c r="Y120" s="293"/>
      <c r="Z120" s="45"/>
      <c r="AA120" s="45"/>
      <c r="AB120" s="45"/>
      <c r="AC120" s="263"/>
      <c r="AD120" s="338"/>
    </row>
    <row r="121" spans="1:30" s="53" customFormat="1" ht="12">
      <c r="A121" s="44"/>
      <c r="B121" s="70"/>
      <c r="C121" s="224" t="s">
        <v>403</v>
      </c>
      <c r="D121" s="253">
        <f>D68</f>
        <v>23.9</v>
      </c>
      <c r="E121" s="217"/>
      <c r="F121" s="293"/>
      <c r="G121" s="293"/>
      <c r="H121" s="293"/>
      <c r="I121" s="293"/>
      <c r="J121" s="293"/>
      <c r="K121" s="293"/>
      <c r="L121" s="293"/>
      <c r="M121" s="293"/>
      <c r="N121" s="293"/>
      <c r="O121" s="293"/>
      <c r="P121" s="293"/>
      <c r="Q121" s="293"/>
      <c r="R121" s="293"/>
      <c r="S121" s="293"/>
      <c r="T121" s="293"/>
      <c r="U121" s="293"/>
      <c r="V121" s="293"/>
      <c r="W121" s="293"/>
      <c r="X121" s="293"/>
      <c r="Y121" s="293"/>
      <c r="Z121" s="45"/>
      <c r="AA121" s="45"/>
      <c r="AB121" s="45"/>
      <c r="AC121" s="263"/>
      <c r="AD121" s="338"/>
    </row>
    <row r="122" spans="1:30" s="53" customFormat="1" ht="12">
      <c r="A122" s="44"/>
      <c r="B122" s="70"/>
      <c r="C122" s="224" t="s">
        <v>452</v>
      </c>
      <c r="D122" s="253">
        <f>'Mode Operating Assumptions'!C103</f>
        <v>12.5</v>
      </c>
      <c r="E122" s="217"/>
      <c r="F122" s="293"/>
      <c r="G122" s="293"/>
      <c r="H122" s="293"/>
      <c r="I122" s="293"/>
      <c r="J122" s="293"/>
      <c r="K122" s="293"/>
      <c r="L122" s="293"/>
      <c r="M122" s="293"/>
      <c r="N122" s="293"/>
      <c r="O122" s="293"/>
      <c r="P122" s="293"/>
      <c r="Q122" s="293"/>
      <c r="R122" s="293"/>
      <c r="S122" s="293"/>
      <c r="T122" s="293"/>
      <c r="U122" s="293"/>
      <c r="V122" s="293"/>
      <c r="W122" s="293"/>
      <c r="X122" s="293"/>
      <c r="Y122" s="293"/>
      <c r="Z122" s="45"/>
      <c r="AA122" s="45"/>
      <c r="AB122" s="45"/>
      <c r="AC122" s="263"/>
      <c r="AD122" s="338"/>
    </row>
    <row r="123" spans="1:30" s="53" customFormat="1" ht="12">
      <c r="A123" s="44"/>
      <c r="B123" s="70"/>
      <c r="C123" s="78" t="s">
        <v>497</v>
      </c>
      <c r="D123" s="253" t="s">
        <v>601</v>
      </c>
      <c r="E123" s="217"/>
      <c r="F123" s="255">
        <f>(F115*$D$119)-($D$117*$D$122)</f>
        <v>-0.82892786890027459</v>
      </c>
      <c r="G123" s="255">
        <f t="shared" ref="G123:AC123" si="24">(G115*$D$119)-($D$117*$D$122)</f>
        <v>-0.82529847821031677</v>
      </c>
      <c r="H123" s="255">
        <f t="shared" si="24"/>
        <v>-0.8216441269682222</v>
      </c>
      <c r="I123" s="255">
        <f t="shared" si="24"/>
        <v>-0.81796455679221269</v>
      </c>
      <c r="J123" s="255">
        <f t="shared" si="24"/>
        <v>-0.81425950572194061</v>
      </c>
      <c r="K123" s="255">
        <f t="shared" si="24"/>
        <v>-0.8105287081563195</v>
      </c>
      <c r="L123" s="255">
        <f t="shared" si="24"/>
        <v>-0.80677189479005662</v>
      </c>
      <c r="M123" s="255">
        <f t="shared" si="24"/>
        <v>-0.80298879254884614</v>
      </c>
      <c r="N123" s="255">
        <f t="shared" si="24"/>
        <v>-0.79917912452320916</v>
      </c>
      <c r="O123" s="255">
        <f t="shared" si="24"/>
        <v>-0.79534260990092109</v>
      </c>
      <c r="P123" s="255">
        <f t="shared" si="24"/>
        <v>-0.79147896389801708</v>
      </c>
      <c r="Q123" s="255">
        <f t="shared" si="24"/>
        <v>-0.78758789768832038</v>
      </c>
      <c r="R123" s="255">
        <f t="shared" si="24"/>
        <v>-0.78366911833147146</v>
      </c>
      <c r="S123" s="255">
        <f t="shared" si="24"/>
        <v>-0.77972232869940683</v>
      </c>
      <c r="T123" s="255">
        <f t="shared" si="24"/>
        <v>-0.77574722740126223</v>
      </c>
      <c r="U123" s="255">
        <f t="shared" si="24"/>
        <v>-0.77174350870665087</v>
      </c>
      <c r="V123" s="255">
        <f t="shared" si="24"/>
        <v>-0.76771086246727727</v>
      </c>
      <c r="W123" s="255">
        <f t="shared" si="24"/>
        <v>-0.76364897403685106</v>
      </c>
      <c r="X123" s="255">
        <f t="shared" si="24"/>
        <v>-0.75955752418924316</v>
      </c>
      <c r="Y123" s="255">
        <f t="shared" si="24"/>
        <v>-0.75543618903485976</v>
      </c>
      <c r="Z123" s="255">
        <f t="shared" si="24"/>
        <v>-0.75128463993516847</v>
      </c>
      <c r="AA123" s="255">
        <f t="shared" si="24"/>
        <v>-0.74710254341534155</v>
      </c>
      <c r="AB123" s="255">
        <f t="shared" si="24"/>
        <v>-0.74288956107496151</v>
      </c>
      <c r="AC123" s="268">
        <f t="shared" si="24"/>
        <v>-0.73864534949674487</v>
      </c>
      <c r="AD123" s="346">
        <f t="shared" si="5"/>
        <v>-18.839130354887896</v>
      </c>
    </row>
    <row r="124" spans="1:30" s="53" customFormat="1" ht="12">
      <c r="A124" s="44"/>
      <c r="B124" s="70"/>
      <c r="C124" s="299" t="s">
        <v>155</v>
      </c>
      <c r="D124" s="209"/>
      <c r="E124" s="217"/>
      <c r="F124" s="255">
        <f>F123*F108</f>
        <v>0</v>
      </c>
      <c r="G124" s="255">
        <f t="shared" ref="G124:AC124" si="25">G123*G108</f>
        <v>0</v>
      </c>
      <c r="H124" s="255">
        <f t="shared" si="25"/>
        <v>0</v>
      </c>
      <c r="I124" s="255">
        <f t="shared" si="25"/>
        <v>0</v>
      </c>
      <c r="J124" s="255">
        <f t="shared" si="25"/>
        <v>-5496.2516636230994</v>
      </c>
      <c r="K124" s="255">
        <f t="shared" si="25"/>
        <v>-7470.03520654568</v>
      </c>
      <c r="L124" s="255">
        <f t="shared" si="25"/>
        <v>-7509.7655901124481</v>
      </c>
      <c r="M124" s="255">
        <f t="shared" si="25"/>
        <v>-7549.2964230608031</v>
      </c>
      <c r="N124" s="255">
        <f t="shared" si="25"/>
        <v>-7588.6146403951598</v>
      </c>
      <c r="O124" s="255">
        <f t="shared" si="25"/>
        <v>-7627.706821042515</v>
      </c>
      <c r="P124" s="255">
        <f t="shared" si="25"/>
        <v>-7666.5591792102377</v>
      </c>
      <c r="Q124" s="255">
        <f t="shared" si="25"/>
        <v>-7705.1575555299969</v>
      </c>
      <c r="R124" s="255">
        <f t="shared" si="25"/>
        <v>-7743.4874079822748</v>
      </c>
      <c r="S124" s="255">
        <f t="shared" si="25"/>
        <v>-7781.5338025954743</v>
      </c>
      <c r="T124" s="255">
        <f t="shared" si="25"/>
        <v>-7819.2814039137111</v>
      </c>
      <c r="U124" s="255">
        <f t="shared" si="25"/>
        <v>-7856.7144652270108</v>
      </c>
      <c r="V124" s="255">
        <f t="shared" si="25"/>
        <v>-7893.816818557515</v>
      </c>
      <c r="W124" s="255">
        <f t="shared" si="25"/>
        <v>-7930.5718643951823</v>
      </c>
      <c r="X124" s="255">
        <f t="shared" si="25"/>
        <v>-7966.9625611760885</v>
      </c>
      <c r="Y124" s="255">
        <f t="shared" si="25"/>
        <v>-8002.9714144965083</v>
      </c>
      <c r="Z124" s="255">
        <f t="shared" si="25"/>
        <v>-8038.5804660554149</v>
      </c>
      <c r="AA124" s="255">
        <f t="shared" si="25"/>
        <v>-8073.7712823181182</v>
      </c>
      <c r="AB124" s="255">
        <f t="shared" si="25"/>
        <v>-8108.5249428933321</v>
      </c>
      <c r="AC124" s="268">
        <f t="shared" si="25"/>
        <v>-8142.8220286158867</v>
      </c>
      <c r="AD124" s="346">
        <f t="shared" si="5"/>
        <v>-153972.42553774646</v>
      </c>
    </row>
    <row r="125" spans="1:30" s="53" customFormat="1" ht="12">
      <c r="A125" s="44"/>
      <c r="B125" s="70"/>
      <c r="C125" s="78" t="s">
        <v>498</v>
      </c>
      <c r="D125" s="253">
        <f>(D116*D120)-(D117*D122)</f>
        <v>-0.33843405647382907</v>
      </c>
      <c r="E125" s="217"/>
      <c r="F125" s="255">
        <f t="shared" ref="F125:AC125" si="26">$D125*F109</f>
        <v>0</v>
      </c>
      <c r="G125" s="255">
        <f t="shared" si="26"/>
        <v>0</v>
      </c>
      <c r="H125" s="255">
        <f t="shared" si="26"/>
        <v>0</v>
      </c>
      <c r="I125" s="255">
        <f t="shared" si="26"/>
        <v>0</v>
      </c>
      <c r="J125" s="255">
        <f t="shared" si="26"/>
        <v>-1142.2149405991731</v>
      </c>
      <c r="K125" s="255">
        <f t="shared" si="26"/>
        <v>-1559.5464364884635</v>
      </c>
      <c r="L125" s="255">
        <f t="shared" si="26"/>
        <v>-1575.1419008533483</v>
      </c>
      <c r="M125" s="255">
        <f t="shared" si="26"/>
        <v>-1590.893319861882</v>
      </c>
      <c r="N125" s="255">
        <f t="shared" si="26"/>
        <v>-1606.8022530605006</v>
      </c>
      <c r="O125" s="255">
        <f t="shared" si="26"/>
        <v>-1622.8702755911054</v>
      </c>
      <c r="P125" s="255">
        <f t="shared" si="26"/>
        <v>-1639.0989783470168</v>
      </c>
      <c r="Q125" s="255">
        <f t="shared" si="26"/>
        <v>-1655.4899681304871</v>
      </c>
      <c r="R125" s="255">
        <f t="shared" si="26"/>
        <v>-1672.0448678117918</v>
      </c>
      <c r="S125" s="255">
        <f t="shared" si="26"/>
        <v>-1688.7653164899098</v>
      </c>
      <c r="T125" s="255">
        <f t="shared" si="26"/>
        <v>-1705.6529696548089</v>
      </c>
      <c r="U125" s="255">
        <f t="shared" si="26"/>
        <v>-1722.7094993513567</v>
      </c>
      <c r="V125" s="255">
        <f t="shared" si="26"/>
        <v>-1739.9365943448706</v>
      </c>
      <c r="W125" s="255">
        <f t="shared" si="26"/>
        <v>-1757.3359602883193</v>
      </c>
      <c r="X125" s="255">
        <f t="shared" si="26"/>
        <v>-1774.9093198912024</v>
      </c>
      <c r="Y125" s="255">
        <f t="shared" si="26"/>
        <v>-1792.6584130901144</v>
      </c>
      <c r="Z125" s="255">
        <f t="shared" si="26"/>
        <v>-1810.5849972210158</v>
      </c>
      <c r="AA125" s="255">
        <f t="shared" si="26"/>
        <v>-1828.6908471932259</v>
      </c>
      <c r="AB125" s="255">
        <f t="shared" si="26"/>
        <v>-1846.9777556651579</v>
      </c>
      <c r="AC125" s="268">
        <f t="shared" si="26"/>
        <v>-1865.4475332218096</v>
      </c>
      <c r="AD125" s="346">
        <f t="shared" si="5"/>
        <v>-33597.772147155563</v>
      </c>
    </row>
    <row r="126" spans="1:30" s="53" customFormat="1" ht="12">
      <c r="A126" s="44"/>
      <c r="B126" s="70"/>
      <c r="C126" s="78" t="s">
        <v>499</v>
      </c>
      <c r="D126" s="253">
        <f>(D118*D121)-(D117*D122)</f>
        <v>2.671875</v>
      </c>
      <c r="E126" s="217"/>
      <c r="F126" s="255">
        <f t="shared" ref="F126:AC126" si="27">$D126*F111</f>
        <v>0</v>
      </c>
      <c r="G126" s="255">
        <f t="shared" si="27"/>
        <v>0</v>
      </c>
      <c r="H126" s="255">
        <f t="shared" si="27"/>
        <v>0</v>
      </c>
      <c r="I126" s="255">
        <f t="shared" si="27"/>
        <v>0</v>
      </c>
      <c r="J126" s="255">
        <f t="shared" si="27"/>
        <v>27052.734375</v>
      </c>
      <c r="K126" s="255">
        <f t="shared" si="27"/>
        <v>36937.001953125</v>
      </c>
      <c r="L126" s="255">
        <f t="shared" si="27"/>
        <v>37306.371972656249</v>
      </c>
      <c r="M126" s="255">
        <f t="shared" si="27"/>
        <v>37679.435692382816</v>
      </c>
      <c r="N126" s="255">
        <f t="shared" si="27"/>
        <v>38056.230049306636</v>
      </c>
      <c r="O126" s="255">
        <f t="shared" si="27"/>
        <v>38436.792349799704</v>
      </c>
      <c r="P126" s="255">
        <f t="shared" si="27"/>
        <v>38821.160273297712</v>
      </c>
      <c r="Q126" s="255">
        <f t="shared" si="27"/>
        <v>39209.371876030687</v>
      </c>
      <c r="R126" s="255">
        <f t="shared" si="27"/>
        <v>39601.465594790985</v>
      </c>
      <c r="S126" s="255">
        <f t="shared" si="27"/>
        <v>39997.480250738896</v>
      </c>
      <c r="T126" s="255">
        <f t="shared" si="27"/>
        <v>40397.455053246289</v>
      </c>
      <c r="U126" s="255">
        <f t="shared" si="27"/>
        <v>40801.42960377875</v>
      </c>
      <c r="V126" s="255">
        <f t="shared" si="27"/>
        <v>41209.443899816542</v>
      </c>
      <c r="W126" s="255">
        <f t="shared" si="27"/>
        <v>41621.538338814702</v>
      </c>
      <c r="X126" s="255">
        <f t="shared" si="27"/>
        <v>42037.753722202855</v>
      </c>
      <c r="Y126" s="255">
        <f t="shared" si="27"/>
        <v>42458.131259424888</v>
      </c>
      <c r="Z126" s="255">
        <f t="shared" si="27"/>
        <v>42882.712572019132</v>
      </c>
      <c r="AA126" s="255">
        <f t="shared" si="27"/>
        <v>43311.539697739317</v>
      </c>
      <c r="AB126" s="255">
        <f t="shared" si="27"/>
        <v>43744.655094716705</v>
      </c>
      <c r="AC126" s="268">
        <f t="shared" si="27"/>
        <v>44182.101645663883</v>
      </c>
      <c r="AD126" s="346">
        <f t="shared" si="5"/>
        <v>795744.80527455162</v>
      </c>
    </row>
    <row r="127" spans="1:30" s="53" customFormat="1" ht="12">
      <c r="A127" s="44"/>
      <c r="B127" s="70" t="s">
        <v>446</v>
      </c>
      <c r="C127" s="224" t="s">
        <v>387</v>
      </c>
      <c r="D127" s="210" t="s">
        <v>601</v>
      </c>
      <c r="E127" s="217"/>
      <c r="F127" s="306">
        <f>F63</f>
        <v>0.39100279786137265</v>
      </c>
      <c r="G127" s="306">
        <f t="shared" ref="G127:AC127" si="28">G63</f>
        <v>0.39205714599476826</v>
      </c>
      <c r="H127" s="306">
        <f t="shared" si="28"/>
        <v>0.39311874523828177</v>
      </c>
      <c r="I127" s="306">
        <f t="shared" si="28"/>
        <v>0.39418767065254157</v>
      </c>
      <c r="J127" s="306">
        <f t="shared" si="28"/>
        <v>0.39526399833776032</v>
      </c>
      <c r="K127" s="306">
        <f t="shared" si="28"/>
        <v>0.39634780545179538</v>
      </c>
      <c r="L127" s="306">
        <f t="shared" si="28"/>
        <v>0.39743917022858699</v>
      </c>
      <c r="M127" s="306">
        <f t="shared" si="28"/>
        <v>0.39853817199698321</v>
      </c>
      <c r="N127" s="306">
        <f t="shared" si="28"/>
        <v>0.39964489119996166</v>
      </c>
      <c r="O127" s="306">
        <f t="shared" si="28"/>
        <v>0.40075940941425758</v>
      </c>
      <c r="P127" s="306">
        <f t="shared" si="28"/>
        <v>0.40188180937040846</v>
      </c>
      <c r="Q127" s="306">
        <f t="shared" si="28"/>
        <v>0.40301217497322528</v>
      </c>
      <c r="R127" s="306">
        <f t="shared" si="28"/>
        <v>0.40415059132270104</v>
      </c>
      <c r="S127" s="306">
        <f t="shared" si="28"/>
        <v>0.40529714473536788</v>
      </c>
      <c r="T127" s="306">
        <f t="shared" si="28"/>
        <v>0.40645192276611369</v>
      </c>
      <c r="U127" s="306">
        <f t="shared" si="28"/>
        <v>0.40761501423047014</v>
      </c>
      <c r="V127" s="306">
        <f t="shared" si="28"/>
        <v>0.40878650922738302</v>
      </c>
      <c r="W127" s="306">
        <f t="shared" si="28"/>
        <v>0.40996649916247907</v>
      </c>
      <c r="X127" s="306">
        <f t="shared" si="28"/>
        <v>0.41115507677183999</v>
      </c>
      <c r="Y127" s="306">
        <f t="shared" si="28"/>
        <v>0.41235233614629774</v>
      </c>
      <c r="Z127" s="306">
        <f t="shared" si="28"/>
        <v>0.41355837275626389</v>
      </c>
      <c r="AA127" s="306">
        <f t="shared" si="28"/>
        <v>0.41477328347710757</v>
      </c>
      <c r="AB127" s="306">
        <f t="shared" si="28"/>
        <v>0.415997166615095</v>
      </c>
      <c r="AC127" s="386">
        <f t="shared" si="28"/>
        <v>0.41723012193390652</v>
      </c>
      <c r="AD127" s="351">
        <f t="shared" si="5"/>
        <v>9.6905878298649686</v>
      </c>
    </row>
    <row r="128" spans="1:30" s="53" customFormat="1" ht="12">
      <c r="A128" s="44"/>
      <c r="B128" s="70"/>
      <c r="C128" s="224" t="s">
        <v>455</v>
      </c>
      <c r="D128" s="549">
        <f>'Mode Operating Assumptions'!C150</f>
        <v>0.38127571701364549</v>
      </c>
      <c r="E128" s="217"/>
      <c r="F128" s="255"/>
      <c r="G128" s="255"/>
      <c r="H128" s="255"/>
      <c r="I128" s="255"/>
      <c r="J128" s="255"/>
      <c r="K128" s="255"/>
      <c r="L128" s="255"/>
      <c r="M128" s="255"/>
      <c r="N128" s="255"/>
      <c r="O128" s="255"/>
      <c r="P128" s="255"/>
      <c r="Q128" s="255"/>
      <c r="R128" s="255"/>
      <c r="S128" s="255"/>
      <c r="T128" s="255"/>
      <c r="U128" s="255"/>
      <c r="V128" s="255"/>
      <c r="W128" s="255"/>
      <c r="X128" s="255"/>
      <c r="Y128" s="255"/>
      <c r="Z128" s="255"/>
      <c r="AA128" s="255"/>
      <c r="AB128" s="255"/>
      <c r="AC128" s="268"/>
      <c r="AD128" s="346"/>
    </row>
    <row r="129" spans="1:30" s="53" customFormat="1" ht="12">
      <c r="A129" s="44"/>
      <c r="B129" s="70"/>
      <c r="C129" s="224" t="s">
        <v>456</v>
      </c>
      <c r="D129" s="549">
        <f>'Mode Operating Assumptions'!C102</f>
        <v>0.17899999999999999</v>
      </c>
      <c r="E129" s="217"/>
      <c r="F129" s="255"/>
      <c r="G129" s="255"/>
      <c r="H129" s="255"/>
      <c r="I129" s="255"/>
      <c r="J129" s="255"/>
      <c r="K129" s="255"/>
      <c r="L129" s="255"/>
      <c r="M129" s="255"/>
      <c r="N129" s="255"/>
      <c r="O129" s="255"/>
      <c r="P129" s="255"/>
      <c r="Q129" s="255"/>
      <c r="R129" s="255"/>
      <c r="S129" s="255"/>
      <c r="T129" s="255"/>
      <c r="U129" s="255"/>
      <c r="V129" s="255"/>
      <c r="W129" s="255"/>
      <c r="X129" s="255"/>
      <c r="Y129" s="255"/>
      <c r="Z129" s="255"/>
      <c r="AA129" s="255"/>
      <c r="AB129" s="255"/>
      <c r="AC129" s="268"/>
      <c r="AD129" s="346"/>
    </row>
    <row r="130" spans="1:30" s="53" customFormat="1" ht="12">
      <c r="A130" s="44"/>
      <c r="B130" s="70"/>
      <c r="C130" s="78" t="s">
        <v>500</v>
      </c>
      <c r="D130" s="209"/>
      <c r="E130" s="217"/>
      <c r="F130" s="255">
        <f>(F127*$D$119)-(($D$128*$D$120)+($D$129*$D$122))</f>
        <v>-2.1159114894034108</v>
      </c>
      <c r="G130" s="255">
        <f t="shared" ref="G130:AC130" si="29">(G127*$D$119)-(($D$128*$D$120)+($D$129*$D$122))</f>
        <v>-2.1027321377359653</v>
      </c>
      <c r="H130" s="255">
        <f t="shared" si="29"/>
        <v>-2.0894621471920463</v>
      </c>
      <c r="I130" s="255">
        <f t="shared" si="29"/>
        <v>-2.076100579513799</v>
      </c>
      <c r="J130" s="255">
        <f t="shared" si="29"/>
        <v>-2.0626464834485647</v>
      </c>
      <c r="K130" s="255">
        <f t="shared" si="29"/>
        <v>-2.0490988945231265</v>
      </c>
      <c r="L130" s="255">
        <f t="shared" si="29"/>
        <v>-2.0354568348132318</v>
      </c>
      <c r="M130" s="255">
        <f t="shared" si="29"/>
        <v>-2.0217193127082789</v>
      </c>
      <c r="N130" s="255">
        <f t="shared" si="29"/>
        <v>-2.007885322671048</v>
      </c>
      <c r="O130" s="255">
        <f t="shared" si="29"/>
        <v>-1.9939538449923493</v>
      </c>
      <c r="P130" s="255">
        <f t="shared" si="29"/>
        <v>-1.9799238455404629</v>
      </c>
      <c r="Q130" s="255">
        <f t="shared" si="29"/>
        <v>-1.9657942755052531</v>
      </c>
      <c r="R130" s="255">
        <f t="shared" si="29"/>
        <v>-1.9515640711368061</v>
      </c>
      <c r="S130" s="255">
        <f t="shared" si="29"/>
        <v>-1.9372321534784707</v>
      </c>
      <c r="T130" s="255">
        <f t="shared" si="29"/>
        <v>-1.9227974280941478</v>
      </c>
      <c r="U130" s="255">
        <f t="shared" si="29"/>
        <v>-1.9082587847896919</v>
      </c>
      <c r="V130" s="255">
        <f t="shared" si="29"/>
        <v>-1.893615097328281</v>
      </c>
      <c r="W130" s="255">
        <f t="shared" si="29"/>
        <v>-1.8788652231395808</v>
      </c>
      <c r="X130" s="255">
        <f t="shared" si="29"/>
        <v>-1.864008003022569</v>
      </c>
      <c r="Y130" s="255">
        <f t="shared" si="29"/>
        <v>-1.8490422608418466</v>
      </c>
      <c r="Z130" s="255">
        <f t="shared" si="29"/>
        <v>-1.8339668032172698</v>
      </c>
      <c r="AA130" s="255">
        <f t="shared" si="29"/>
        <v>-1.8187804192067238</v>
      </c>
      <c r="AB130" s="255">
        <f t="shared" si="29"/>
        <v>-1.8034818799818808</v>
      </c>
      <c r="AC130" s="268">
        <f t="shared" si="29"/>
        <v>-1.7880699384967373</v>
      </c>
      <c r="AD130" s="346">
        <f t="shared" si="5"/>
        <v>-46.950367230781552</v>
      </c>
    </row>
    <row r="131" spans="1:30" s="53" customFormat="1" ht="12">
      <c r="A131" s="44"/>
      <c r="D131" s="209"/>
      <c r="E131" s="217"/>
      <c r="F131" s="255">
        <f>$F130*F112</f>
        <v>0</v>
      </c>
      <c r="G131" s="255">
        <f t="shared" ref="G131:AC131" si="30">$F130*G112</f>
        <v>0</v>
      </c>
      <c r="H131" s="255">
        <f t="shared" si="30"/>
        <v>0</v>
      </c>
      <c r="I131" s="255">
        <f t="shared" si="30"/>
        <v>0</v>
      </c>
      <c r="J131" s="255">
        <f t="shared" si="30"/>
        <v>-35706.006383682557</v>
      </c>
      <c r="K131" s="255">
        <f t="shared" si="30"/>
        <v>-48751.923160535458</v>
      </c>
      <c r="L131" s="255">
        <f t="shared" si="30"/>
        <v>-49239.442392140816</v>
      </c>
      <c r="M131" s="255">
        <f t="shared" si="30"/>
        <v>-49731.836816062234</v>
      </c>
      <c r="N131" s="255">
        <f t="shared" si="30"/>
        <v>-50229.155184222844</v>
      </c>
      <c r="O131" s="255">
        <f t="shared" si="30"/>
        <v>-50731.446736065074</v>
      </c>
      <c r="P131" s="255">
        <f t="shared" si="30"/>
        <v>-51238.761203425733</v>
      </c>
      <c r="Q131" s="255">
        <f t="shared" si="30"/>
        <v>-51751.148815459994</v>
      </c>
      <c r="R131" s="255">
        <f t="shared" si="30"/>
        <v>-52268.660303614583</v>
      </c>
      <c r="S131" s="255">
        <f t="shared" si="30"/>
        <v>-52791.346906650731</v>
      </c>
      <c r="T131" s="255">
        <f t="shared" si="30"/>
        <v>-53319.26037571724</v>
      </c>
      <c r="U131" s="255">
        <f t="shared" si="30"/>
        <v>-53852.452979474408</v>
      </c>
      <c r="V131" s="255">
        <f t="shared" si="30"/>
        <v>-54390.977509269163</v>
      </c>
      <c r="W131" s="255">
        <f t="shared" si="30"/>
        <v>-54934.887284361845</v>
      </c>
      <c r="X131" s="255">
        <f t="shared" si="30"/>
        <v>-55484.236157205465</v>
      </c>
      <c r="Y131" s="255">
        <f t="shared" si="30"/>
        <v>-56039.078518777525</v>
      </c>
      <c r="Z131" s="255">
        <f t="shared" si="30"/>
        <v>-56599.469303965299</v>
      </c>
      <c r="AA131" s="255">
        <f t="shared" si="30"/>
        <v>-57165.463997004954</v>
      </c>
      <c r="AB131" s="255">
        <f t="shared" si="30"/>
        <v>-57737.118636974992</v>
      </c>
      <c r="AC131" s="268">
        <f t="shared" si="30"/>
        <v>-58314.489823344753</v>
      </c>
      <c r="AD131" s="346">
        <f t="shared" si="5"/>
        <v>-1050277.1624879555</v>
      </c>
    </row>
    <row r="132" spans="1:30" s="53" customFormat="1" ht="12">
      <c r="A132" s="44"/>
      <c r="B132" s="70"/>
      <c r="C132" s="62" t="s">
        <v>413</v>
      </c>
      <c r="D132" s="212"/>
      <c r="E132" s="408"/>
      <c r="F132" s="409">
        <f>F131+F126+F125+F124</f>
        <v>0</v>
      </c>
      <c r="G132" s="409">
        <f t="shared" ref="G132:AC132" si="31">G131+G126+G125+G124</f>
        <v>0</v>
      </c>
      <c r="H132" s="409">
        <f t="shared" si="31"/>
        <v>0</v>
      </c>
      <c r="I132" s="409">
        <f t="shared" si="31"/>
        <v>0</v>
      </c>
      <c r="J132" s="289">
        <f t="shared" si="31"/>
        <v>-15291.73861290483</v>
      </c>
      <c r="K132" s="289">
        <f t="shared" si="31"/>
        <v>-20844.502850444602</v>
      </c>
      <c r="L132" s="289">
        <f t="shared" si="31"/>
        <v>-21017.977910450365</v>
      </c>
      <c r="M132" s="289">
        <f t="shared" si="31"/>
        <v>-21192.590866602102</v>
      </c>
      <c r="N132" s="289">
        <f t="shared" si="31"/>
        <v>-21368.34202837187</v>
      </c>
      <c r="O132" s="289">
        <f t="shared" si="31"/>
        <v>-21545.231482898991</v>
      </c>
      <c r="P132" s="289">
        <f t="shared" si="31"/>
        <v>-21723.259087685277</v>
      </c>
      <c r="Q132" s="289">
        <f t="shared" si="31"/>
        <v>-21902.424463089788</v>
      </c>
      <c r="R132" s="289">
        <f t="shared" si="31"/>
        <v>-22082.726984617664</v>
      </c>
      <c r="S132" s="289">
        <f t="shared" si="31"/>
        <v>-22264.165774997218</v>
      </c>
      <c r="T132" s="289">
        <f t="shared" si="31"/>
        <v>-22446.739696039473</v>
      </c>
      <c r="U132" s="289">
        <f t="shared" si="31"/>
        <v>-22630.447340274026</v>
      </c>
      <c r="V132" s="289">
        <f t="shared" si="31"/>
        <v>-22815.287022355005</v>
      </c>
      <c r="W132" s="289">
        <f t="shared" si="31"/>
        <v>-23001.256770230644</v>
      </c>
      <c r="X132" s="289">
        <f t="shared" si="31"/>
        <v>-23188.354316069901</v>
      </c>
      <c r="Y132" s="289">
        <f t="shared" si="31"/>
        <v>-23376.577086939258</v>
      </c>
      <c r="Z132" s="289">
        <f t="shared" si="31"/>
        <v>-23565.9221952226</v>
      </c>
      <c r="AA132" s="289">
        <f t="shared" si="31"/>
        <v>-23756.386428776979</v>
      </c>
      <c r="AB132" s="289">
        <f t="shared" si="31"/>
        <v>-23947.966240816775</v>
      </c>
      <c r="AC132" s="318">
        <f t="shared" si="31"/>
        <v>-24140.657739518567</v>
      </c>
      <c r="AD132" s="347">
        <f t="shared" si="5"/>
        <v>-442102.55489830585</v>
      </c>
    </row>
    <row r="133" spans="1:30" s="53" customFormat="1" ht="12">
      <c r="A133" s="44"/>
      <c r="B133" s="70"/>
      <c r="D133" s="210"/>
      <c r="E133" s="217"/>
      <c r="F133" s="59"/>
      <c r="G133" s="59"/>
      <c r="H133" s="59"/>
      <c r="I133" s="59"/>
      <c r="J133" s="59"/>
      <c r="K133" s="59"/>
      <c r="L133" s="59"/>
      <c r="M133" s="59"/>
      <c r="N133" s="59"/>
      <c r="O133" s="59"/>
      <c r="P133" s="59"/>
      <c r="Q133" s="59"/>
      <c r="R133" s="59"/>
      <c r="S133" s="59"/>
      <c r="T133" s="59"/>
      <c r="U133" s="59"/>
      <c r="V133" s="59"/>
      <c r="W133" s="59"/>
      <c r="X133" s="59"/>
      <c r="Y133" s="59"/>
      <c r="AC133" s="263"/>
      <c r="AD133" s="338"/>
    </row>
    <row r="134" spans="1:30" s="53" customFormat="1" ht="12">
      <c r="A134" s="44"/>
      <c r="B134" s="70"/>
      <c r="C134" s="63" t="s">
        <v>149</v>
      </c>
      <c r="D134" s="210"/>
      <c r="E134" s="217"/>
      <c r="F134" s="59"/>
      <c r="G134" s="59"/>
      <c r="H134" s="59"/>
      <c r="I134" s="59"/>
      <c r="J134" s="59"/>
      <c r="K134" s="59"/>
      <c r="L134" s="59"/>
      <c r="M134" s="59"/>
      <c r="N134" s="59"/>
      <c r="O134" s="59"/>
      <c r="P134" s="59"/>
      <c r="Q134" s="59"/>
      <c r="R134" s="59"/>
      <c r="S134" s="59"/>
      <c r="T134" s="59"/>
      <c r="U134" s="59"/>
      <c r="V134" s="59"/>
      <c r="W134" s="59"/>
      <c r="X134" s="59"/>
      <c r="Y134" s="59"/>
      <c r="AC134" s="263"/>
      <c r="AD134" s="338"/>
    </row>
    <row r="135" spans="1:30" s="53" customFormat="1" ht="12">
      <c r="A135" s="44"/>
      <c r="B135" s="70"/>
      <c r="C135" s="224" t="s">
        <v>460</v>
      </c>
      <c r="D135" s="253">
        <f>D101</f>
        <v>8.1905000000000001</v>
      </c>
      <c r="E135" s="217"/>
      <c r="F135" s="59"/>
      <c r="G135" s="59"/>
      <c r="H135" s="59"/>
      <c r="I135" s="59"/>
      <c r="J135" s="59"/>
      <c r="K135" s="59"/>
      <c r="L135" s="59"/>
      <c r="M135" s="59"/>
      <c r="N135" s="59"/>
      <c r="O135" s="59"/>
      <c r="P135" s="59"/>
      <c r="Q135" s="59"/>
      <c r="R135" s="59"/>
      <c r="S135" s="59"/>
      <c r="T135" s="59"/>
      <c r="U135" s="59"/>
      <c r="V135" s="59"/>
      <c r="W135" s="59"/>
      <c r="X135" s="59"/>
      <c r="Y135" s="59"/>
      <c r="AC135" s="263"/>
      <c r="AD135" s="338"/>
    </row>
    <row r="136" spans="1:30" s="53" customFormat="1" ht="12">
      <c r="A136" s="44"/>
      <c r="B136" s="70"/>
      <c r="C136" s="225" t="s">
        <v>461</v>
      </c>
      <c r="D136" s="253">
        <f>D102</f>
        <v>2.107407271835358</v>
      </c>
      <c r="E136" s="217"/>
      <c r="F136" s="59"/>
      <c r="G136" s="59"/>
      <c r="H136" s="59"/>
      <c r="I136" s="59"/>
      <c r="J136" s="59"/>
      <c r="K136" s="59"/>
      <c r="L136" s="59"/>
      <c r="M136" s="59"/>
      <c r="N136" s="59"/>
      <c r="O136" s="59"/>
      <c r="P136" s="59"/>
      <c r="Q136" s="59"/>
      <c r="R136" s="59"/>
      <c r="S136" s="59"/>
      <c r="T136" s="59"/>
      <c r="U136" s="59"/>
      <c r="V136" s="59"/>
      <c r="W136" s="59"/>
      <c r="X136" s="59"/>
      <c r="Y136" s="59"/>
      <c r="AC136" s="263"/>
      <c r="AD136" s="338"/>
    </row>
    <row r="137" spans="1:30" s="53" customFormat="1" ht="12">
      <c r="A137" s="44"/>
      <c r="B137" s="70"/>
      <c r="C137" s="225" t="s">
        <v>462</v>
      </c>
      <c r="D137" s="253">
        <f>'Mode Operating Assumptions'!C61</f>
        <v>0.1</v>
      </c>
      <c r="E137" s="217"/>
      <c r="F137" s="59"/>
      <c r="G137" s="59"/>
      <c r="H137" s="59"/>
      <c r="I137" s="59"/>
      <c r="J137" s="59"/>
      <c r="K137" s="59"/>
      <c r="L137" s="59"/>
      <c r="M137" s="59"/>
      <c r="N137" s="59"/>
      <c r="O137" s="59"/>
      <c r="P137" s="59"/>
      <c r="Q137" s="59"/>
      <c r="R137" s="59"/>
      <c r="S137" s="59"/>
      <c r="T137" s="59"/>
      <c r="U137" s="59"/>
      <c r="V137" s="59"/>
      <c r="W137" s="59"/>
      <c r="X137" s="59"/>
      <c r="Y137" s="59"/>
      <c r="AC137" s="263"/>
      <c r="AD137" s="338"/>
    </row>
    <row r="138" spans="1:30" s="53" customFormat="1" ht="12">
      <c r="A138" s="44"/>
      <c r="B138" s="70"/>
      <c r="C138" s="224" t="s">
        <v>463</v>
      </c>
      <c r="D138" s="253">
        <f>'Mode Operating Assumptions'!C54</f>
        <v>0.05</v>
      </c>
      <c r="E138" s="217"/>
      <c r="F138" s="59"/>
      <c r="G138" s="59"/>
      <c r="H138" s="59"/>
      <c r="I138" s="59"/>
      <c r="J138" s="59"/>
      <c r="K138" s="59"/>
      <c r="L138" s="59"/>
      <c r="M138" s="59"/>
      <c r="N138" s="59"/>
      <c r="O138" s="59"/>
      <c r="P138" s="59"/>
      <c r="Q138" s="59"/>
      <c r="R138" s="59"/>
      <c r="S138" s="59"/>
      <c r="T138" s="59"/>
      <c r="U138" s="59"/>
      <c r="V138" s="59"/>
      <c r="W138" s="59"/>
      <c r="X138" s="59"/>
      <c r="Y138" s="59"/>
      <c r="AC138" s="263"/>
      <c r="AD138" s="338"/>
    </row>
    <row r="139" spans="1:30" s="53" customFormat="1" ht="12">
      <c r="A139" s="44"/>
      <c r="B139" s="70"/>
      <c r="C139" s="225" t="s">
        <v>464</v>
      </c>
      <c r="D139" s="253">
        <f>'Mode Operating Assumptions'!C95*'Mode Operating Assumptions'!C86</f>
        <v>0.19708904109589043</v>
      </c>
      <c r="E139" s="217"/>
      <c r="F139" s="59"/>
      <c r="G139" s="59"/>
      <c r="H139" s="59"/>
      <c r="I139" s="59"/>
      <c r="J139" s="59"/>
      <c r="K139" s="59"/>
      <c r="L139" s="59"/>
      <c r="M139" s="59"/>
      <c r="N139" s="59"/>
      <c r="O139" s="59"/>
      <c r="P139" s="59"/>
      <c r="Q139" s="59"/>
      <c r="R139" s="59"/>
      <c r="S139" s="59"/>
      <c r="T139" s="59"/>
      <c r="U139" s="59"/>
      <c r="V139" s="59"/>
      <c r="W139" s="59"/>
      <c r="X139" s="59"/>
      <c r="Y139" s="59"/>
      <c r="AC139" s="263"/>
      <c r="AD139" s="338"/>
    </row>
    <row r="140" spans="1:30" s="53" customFormat="1" ht="12">
      <c r="A140" s="44"/>
      <c r="B140" s="70" t="s">
        <v>447</v>
      </c>
      <c r="C140" s="78" t="s">
        <v>465</v>
      </c>
      <c r="D140" s="253">
        <f>D135-D139</f>
        <v>7.9934109589041098</v>
      </c>
      <c r="E140" s="217"/>
      <c r="F140" s="255">
        <f t="shared" ref="F140:AC140" si="32">$D140*F108</f>
        <v>0</v>
      </c>
      <c r="G140" s="255">
        <f t="shared" si="32"/>
        <v>0</v>
      </c>
      <c r="H140" s="255">
        <f t="shared" si="32"/>
        <v>0</v>
      </c>
      <c r="I140" s="255">
        <f t="shared" si="32"/>
        <v>0</v>
      </c>
      <c r="J140" s="255">
        <f t="shared" si="32"/>
        <v>53955.523972602743</v>
      </c>
      <c r="K140" s="255">
        <f t="shared" si="32"/>
        <v>73669.273750000008</v>
      </c>
      <c r="L140" s="255">
        <f t="shared" si="32"/>
        <v>74405.966487500002</v>
      </c>
      <c r="M140" s="255">
        <f t="shared" si="32"/>
        <v>75150.026152375009</v>
      </c>
      <c r="N140" s="255">
        <f t="shared" si="32"/>
        <v>75901.526413898755</v>
      </c>
      <c r="O140" s="255">
        <f t="shared" si="32"/>
        <v>76660.541678037727</v>
      </c>
      <c r="P140" s="255">
        <f t="shared" si="32"/>
        <v>77427.147094818123</v>
      </c>
      <c r="Q140" s="255">
        <f t="shared" si="32"/>
        <v>78201.418565766318</v>
      </c>
      <c r="R140" s="255">
        <f t="shared" si="32"/>
        <v>78983.43275142397</v>
      </c>
      <c r="S140" s="255">
        <f t="shared" si="32"/>
        <v>79773.26707893821</v>
      </c>
      <c r="T140" s="255">
        <f t="shared" si="32"/>
        <v>80570.999749727591</v>
      </c>
      <c r="U140" s="255">
        <f t="shared" si="32"/>
        <v>81376.709747224857</v>
      </c>
      <c r="V140" s="255">
        <f t="shared" si="32"/>
        <v>82190.476844697128</v>
      </c>
      <c r="W140" s="255">
        <f t="shared" si="32"/>
        <v>83012.381613144098</v>
      </c>
      <c r="X140" s="255">
        <f t="shared" si="32"/>
        <v>83842.505429275523</v>
      </c>
      <c r="Y140" s="255">
        <f t="shared" si="32"/>
        <v>84680.930483568285</v>
      </c>
      <c r="Z140" s="255">
        <f t="shared" si="32"/>
        <v>85527.739788403967</v>
      </c>
      <c r="AA140" s="255">
        <f t="shared" si="32"/>
        <v>86383.017186288009</v>
      </c>
      <c r="AB140" s="255">
        <f t="shared" si="32"/>
        <v>87246.847358150888</v>
      </c>
      <c r="AC140" s="268">
        <f t="shared" si="32"/>
        <v>88119.315831732398</v>
      </c>
      <c r="AD140" s="346">
        <f t="shared" ref="AD140:AD197" si="33">SUM(F140:AC140)</f>
        <v>1587079.0479775735</v>
      </c>
    </row>
    <row r="141" spans="1:30" s="53" customFormat="1" ht="12">
      <c r="A141" s="44"/>
      <c r="B141" s="70"/>
      <c r="C141" s="78" t="s">
        <v>466</v>
      </c>
      <c r="D141" s="253">
        <f>D136-D139</f>
        <v>1.9103182307394677</v>
      </c>
      <c r="E141" s="217"/>
      <c r="F141" s="255">
        <f t="shared" ref="F141:AC141" si="34">$D141*F109</f>
        <v>0</v>
      </c>
      <c r="G141" s="255">
        <f t="shared" si="34"/>
        <v>0</v>
      </c>
      <c r="H141" s="255">
        <f t="shared" si="34"/>
        <v>0</v>
      </c>
      <c r="I141" s="255">
        <f t="shared" si="34"/>
        <v>0</v>
      </c>
      <c r="J141" s="255">
        <f t="shared" si="34"/>
        <v>6447.3240287457038</v>
      </c>
      <c r="K141" s="255">
        <f t="shared" si="34"/>
        <v>8802.9851970263098</v>
      </c>
      <c r="L141" s="255">
        <f t="shared" si="34"/>
        <v>8891.0150489965727</v>
      </c>
      <c r="M141" s="255">
        <f t="shared" si="34"/>
        <v>8979.9251994865408</v>
      </c>
      <c r="N141" s="255">
        <f t="shared" si="34"/>
        <v>9069.7244514814047</v>
      </c>
      <c r="O141" s="255">
        <f t="shared" si="34"/>
        <v>9160.4216959962177</v>
      </c>
      <c r="P141" s="255">
        <f t="shared" si="34"/>
        <v>9252.0259129561819</v>
      </c>
      <c r="Q141" s="255">
        <f t="shared" si="34"/>
        <v>9344.5461720857438</v>
      </c>
      <c r="R141" s="255">
        <f t="shared" si="34"/>
        <v>9437.9916338066014</v>
      </c>
      <c r="S141" s="255">
        <f t="shared" si="34"/>
        <v>9532.3715501446677</v>
      </c>
      <c r="T141" s="255">
        <f t="shared" si="34"/>
        <v>9627.6952656461126</v>
      </c>
      <c r="U141" s="255">
        <f t="shared" si="34"/>
        <v>9723.9722183025733</v>
      </c>
      <c r="V141" s="255">
        <f t="shared" si="34"/>
        <v>9821.2119404856003</v>
      </c>
      <c r="W141" s="255">
        <f t="shared" si="34"/>
        <v>9919.4240598904562</v>
      </c>
      <c r="X141" s="255">
        <f t="shared" si="34"/>
        <v>10018.618300489361</v>
      </c>
      <c r="Y141" s="255">
        <f t="shared" si="34"/>
        <v>10118.804483494254</v>
      </c>
      <c r="Z141" s="255">
        <f t="shared" si="34"/>
        <v>10219.992528329198</v>
      </c>
      <c r="AA141" s="255">
        <f t="shared" si="34"/>
        <v>10322.19245361249</v>
      </c>
      <c r="AB141" s="255">
        <f t="shared" si="34"/>
        <v>10425.414378148615</v>
      </c>
      <c r="AC141" s="268">
        <f t="shared" si="34"/>
        <v>10529.6685219301</v>
      </c>
      <c r="AD141" s="346">
        <f t="shared" si="33"/>
        <v>189645.32504105469</v>
      </c>
    </row>
    <row r="142" spans="1:30" s="53" customFormat="1" ht="12">
      <c r="A142" s="44"/>
      <c r="B142" s="70"/>
      <c r="C142" s="78" t="s">
        <v>467</v>
      </c>
      <c r="D142" s="253">
        <f>D137-D139</f>
        <v>-9.7089041095890422E-2</v>
      </c>
      <c r="E142" s="217"/>
      <c r="F142" s="255">
        <f t="shared" ref="F142:AC142" si="35">$D142*F110</f>
        <v>0</v>
      </c>
      <c r="G142" s="255">
        <f t="shared" si="35"/>
        <v>0</v>
      </c>
      <c r="H142" s="255">
        <f t="shared" si="35"/>
        <v>0</v>
      </c>
      <c r="I142" s="255">
        <f t="shared" si="35"/>
        <v>0</v>
      </c>
      <c r="J142" s="255">
        <f t="shared" si="35"/>
        <v>-327.6755136986302</v>
      </c>
      <c r="K142" s="255">
        <f t="shared" si="35"/>
        <v>-447.39843750000006</v>
      </c>
      <c r="L142" s="255">
        <f t="shared" si="35"/>
        <v>-451.87242187500004</v>
      </c>
      <c r="M142" s="255">
        <f t="shared" si="35"/>
        <v>-456.39114609375014</v>
      </c>
      <c r="N142" s="255">
        <f t="shared" si="35"/>
        <v>-460.95505755468758</v>
      </c>
      <c r="O142" s="255">
        <f t="shared" si="35"/>
        <v>-465.56460813023438</v>
      </c>
      <c r="P142" s="255">
        <f t="shared" si="35"/>
        <v>-470.22025421153683</v>
      </c>
      <c r="Q142" s="255">
        <f t="shared" si="35"/>
        <v>-474.92245675365228</v>
      </c>
      <c r="R142" s="255">
        <f t="shared" si="35"/>
        <v>-479.67168132118877</v>
      </c>
      <c r="S142" s="255">
        <f t="shared" si="35"/>
        <v>-484.46839813440062</v>
      </c>
      <c r="T142" s="255">
        <f t="shared" si="35"/>
        <v>-489.31308211574458</v>
      </c>
      <c r="U142" s="255">
        <f t="shared" si="35"/>
        <v>-494.20621293690203</v>
      </c>
      <c r="V142" s="255">
        <f t="shared" si="35"/>
        <v>-499.14827506627114</v>
      </c>
      <c r="W142" s="255">
        <f t="shared" si="35"/>
        <v>-504.13975781693381</v>
      </c>
      <c r="X142" s="255">
        <f t="shared" si="35"/>
        <v>-509.18115539510313</v>
      </c>
      <c r="Y142" s="255">
        <f t="shared" si="35"/>
        <v>-514.27296694905419</v>
      </c>
      <c r="Z142" s="255">
        <f t="shared" si="35"/>
        <v>-519.41569661854476</v>
      </c>
      <c r="AA142" s="255">
        <f t="shared" si="35"/>
        <v>-524.60985358473022</v>
      </c>
      <c r="AB142" s="255">
        <f t="shared" si="35"/>
        <v>-529.85595212057751</v>
      </c>
      <c r="AC142" s="268">
        <f t="shared" si="35"/>
        <v>-535.1545116417833</v>
      </c>
      <c r="AD142" s="346">
        <f t="shared" si="33"/>
        <v>-9638.437439518726</v>
      </c>
    </row>
    <row r="143" spans="1:30" s="53" customFormat="1" ht="12">
      <c r="A143" s="44"/>
      <c r="B143" s="70"/>
      <c r="C143" s="78" t="s">
        <v>468</v>
      </c>
      <c r="D143" s="253">
        <f>D138-D139</f>
        <v>-0.14708904109589044</v>
      </c>
      <c r="E143" s="217"/>
      <c r="F143" s="255">
        <f t="shared" ref="F143:AC143" si="36">$D143*F111</f>
        <v>0</v>
      </c>
      <c r="G143" s="255">
        <f t="shared" si="36"/>
        <v>0</v>
      </c>
      <c r="H143" s="255">
        <f t="shared" si="36"/>
        <v>0</v>
      </c>
      <c r="I143" s="255">
        <f t="shared" si="36"/>
        <v>0</v>
      </c>
      <c r="J143" s="255">
        <f t="shared" si="36"/>
        <v>-1489.2765410958907</v>
      </c>
      <c r="K143" s="255">
        <f t="shared" si="36"/>
        <v>-2033.4140625000005</v>
      </c>
      <c r="L143" s="255">
        <f t="shared" si="36"/>
        <v>-2053.7482031250001</v>
      </c>
      <c r="M143" s="255">
        <f t="shared" si="36"/>
        <v>-2074.2856851562506</v>
      </c>
      <c r="N143" s="255">
        <f t="shared" si="36"/>
        <v>-2095.0285420078126</v>
      </c>
      <c r="O143" s="255">
        <f t="shared" si="36"/>
        <v>-2115.9788274278908</v>
      </c>
      <c r="P143" s="255">
        <f t="shared" si="36"/>
        <v>-2137.1386157021702</v>
      </c>
      <c r="Q143" s="255">
        <f t="shared" si="36"/>
        <v>-2158.510001859192</v>
      </c>
      <c r="R143" s="255">
        <f t="shared" si="36"/>
        <v>-2180.0951018777832</v>
      </c>
      <c r="S143" s="255">
        <f t="shared" si="36"/>
        <v>-2201.8960528965613</v>
      </c>
      <c r="T143" s="255">
        <f t="shared" si="36"/>
        <v>-2223.9150134255269</v>
      </c>
      <c r="U143" s="255">
        <f t="shared" si="36"/>
        <v>-2246.1541635597823</v>
      </c>
      <c r="V143" s="255">
        <f t="shared" si="36"/>
        <v>-2268.6157051953805</v>
      </c>
      <c r="W143" s="255">
        <f t="shared" si="36"/>
        <v>-2291.3018622473337</v>
      </c>
      <c r="X143" s="255">
        <f t="shared" si="36"/>
        <v>-2314.2148808698075</v>
      </c>
      <c r="Y143" s="255">
        <f t="shared" si="36"/>
        <v>-2337.3570296785056</v>
      </c>
      <c r="Z143" s="255">
        <f t="shared" si="36"/>
        <v>-2360.7305999752907</v>
      </c>
      <c r="AA143" s="255">
        <f t="shared" si="36"/>
        <v>-2384.3379059750432</v>
      </c>
      <c r="AB143" s="255">
        <f t="shared" si="36"/>
        <v>-2408.1812850347937</v>
      </c>
      <c r="AC143" s="268">
        <f t="shared" si="36"/>
        <v>-2432.2630978851416</v>
      </c>
      <c r="AD143" s="346">
        <f t="shared" si="33"/>
        <v>-43806.443177495166</v>
      </c>
    </row>
    <row r="144" spans="1:30" s="53" customFormat="1" ht="12">
      <c r="A144" s="44"/>
      <c r="B144" s="70" t="s">
        <v>446</v>
      </c>
      <c r="C144" s="78" t="s">
        <v>470</v>
      </c>
      <c r="D144" s="253">
        <f>D135-D136-D139</f>
        <v>5.8860036870687518</v>
      </c>
      <c r="E144" s="217"/>
      <c r="F144" s="255">
        <f t="shared" ref="F144:AC144" si="37">$D144*F112</f>
        <v>0</v>
      </c>
      <c r="G144" s="255">
        <f t="shared" si="37"/>
        <v>0</v>
      </c>
      <c r="H144" s="255">
        <f t="shared" si="37"/>
        <v>0</v>
      </c>
      <c r="I144" s="255">
        <f t="shared" si="37"/>
        <v>0</v>
      </c>
      <c r="J144" s="255">
        <f t="shared" si="37"/>
        <v>99326.312219285188</v>
      </c>
      <c r="K144" s="255">
        <f t="shared" si="37"/>
        <v>135617.20370236845</v>
      </c>
      <c r="L144" s="255">
        <f t="shared" si="37"/>
        <v>136973.37573939216</v>
      </c>
      <c r="M144" s="255">
        <f t="shared" si="37"/>
        <v>138343.10949678608</v>
      </c>
      <c r="N144" s="255">
        <f t="shared" si="37"/>
        <v>139726.54059175393</v>
      </c>
      <c r="O144" s="255">
        <f t="shared" si="37"/>
        <v>141123.80599767144</v>
      </c>
      <c r="P144" s="255">
        <f t="shared" si="37"/>
        <v>142535.04405764819</v>
      </c>
      <c r="Q144" s="255">
        <f t="shared" si="37"/>
        <v>143960.39449822469</v>
      </c>
      <c r="R144" s="255">
        <f t="shared" si="37"/>
        <v>145399.99844320692</v>
      </c>
      <c r="S144" s="255">
        <f t="shared" si="37"/>
        <v>146853.99842763899</v>
      </c>
      <c r="T144" s="255">
        <f t="shared" si="37"/>
        <v>148322.53841191539</v>
      </c>
      <c r="U144" s="255">
        <f t="shared" si="37"/>
        <v>149805.76379603453</v>
      </c>
      <c r="V144" s="255">
        <f t="shared" si="37"/>
        <v>151303.82143399489</v>
      </c>
      <c r="W144" s="255">
        <f t="shared" si="37"/>
        <v>152816.85964833482</v>
      </c>
      <c r="X144" s="255">
        <f t="shared" si="37"/>
        <v>154345.02824481818</v>
      </c>
      <c r="Y144" s="255">
        <f t="shared" si="37"/>
        <v>155888.47852726636</v>
      </c>
      <c r="Z144" s="255">
        <f t="shared" si="37"/>
        <v>157447.36331253903</v>
      </c>
      <c r="AA144" s="255">
        <f t="shared" si="37"/>
        <v>159021.83694566443</v>
      </c>
      <c r="AB144" s="255">
        <f t="shared" si="37"/>
        <v>160612.05531512105</v>
      </c>
      <c r="AC144" s="268">
        <f t="shared" si="37"/>
        <v>162218.17586827229</v>
      </c>
      <c r="AD144" s="346">
        <f t="shared" si="33"/>
        <v>2921641.7046779376</v>
      </c>
    </row>
    <row r="145" spans="1:30" s="53" customFormat="1" ht="12">
      <c r="A145" s="44"/>
      <c r="B145" s="70"/>
      <c r="C145" s="62" t="s">
        <v>589</v>
      </c>
      <c r="D145" s="253"/>
      <c r="E145" s="217"/>
      <c r="F145" s="289">
        <f t="shared" ref="F145:AC145" si="38">SUM(F140:F144)</f>
        <v>0</v>
      </c>
      <c r="G145" s="289">
        <f t="shared" si="38"/>
        <v>0</v>
      </c>
      <c r="H145" s="289">
        <f t="shared" si="38"/>
        <v>0</v>
      </c>
      <c r="I145" s="289">
        <f t="shared" si="38"/>
        <v>0</v>
      </c>
      <c r="J145" s="289">
        <f t="shared" si="38"/>
        <v>157912.20816583911</v>
      </c>
      <c r="K145" s="289">
        <f t="shared" si="38"/>
        <v>215608.65014939476</v>
      </c>
      <c r="L145" s="289">
        <f t="shared" si="38"/>
        <v>217764.73665088875</v>
      </c>
      <c r="M145" s="289">
        <f t="shared" si="38"/>
        <v>219942.38401739765</v>
      </c>
      <c r="N145" s="289">
        <f t="shared" si="38"/>
        <v>222141.80785757158</v>
      </c>
      <c r="O145" s="289">
        <f t="shared" si="38"/>
        <v>224363.22593614727</v>
      </c>
      <c r="P145" s="289">
        <f t="shared" si="38"/>
        <v>226606.85819550877</v>
      </c>
      <c r="Q145" s="289">
        <f t="shared" si="38"/>
        <v>228872.9267774639</v>
      </c>
      <c r="R145" s="289">
        <f t="shared" si="38"/>
        <v>231161.65604523852</v>
      </c>
      <c r="S145" s="289">
        <f t="shared" si="38"/>
        <v>233473.27260569093</v>
      </c>
      <c r="T145" s="289">
        <f t="shared" si="38"/>
        <v>235808.00533174782</v>
      </c>
      <c r="U145" s="289">
        <f t="shared" si="38"/>
        <v>238166.08538506529</v>
      </c>
      <c r="V145" s="289">
        <f t="shared" si="38"/>
        <v>240547.74623891598</v>
      </c>
      <c r="W145" s="289">
        <f t="shared" si="38"/>
        <v>242953.22370130511</v>
      </c>
      <c r="X145" s="289">
        <f t="shared" si="38"/>
        <v>245382.75593831815</v>
      </c>
      <c r="Y145" s="289">
        <f t="shared" si="38"/>
        <v>247836.58349770133</v>
      </c>
      <c r="Z145" s="289">
        <f t="shared" si="38"/>
        <v>250314.94933267837</v>
      </c>
      <c r="AA145" s="289">
        <f t="shared" si="38"/>
        <v>252818.09882600515</v>
      </c>
      <c r="AB145" s="289">
        <f t="shared" si="38"/>
        <v>255346.2798142652</v>
      </c>
      <c r="AC145" s="318">
        <f t="shared" si="38"/>
        <v>257899.74261240786</v>
      </c>
      <c r="AD145" s="347">
        <f t="shared" si="33"/>
        <v>4644921.1970795514</v>
      </c>
    </row>
    <row r="146" spans="1:30" s="5" customFormat="1" ht="12">
      <c r="A146" s="58"/>
      <c r="B146" s="58"/>
      <c r="D146" s="212"/>
      <c r="E146" s="220"/>
      <c r="F146" s="88"/>
      <c r="G146" s="88"/>
      <c r="H146" s="88"/>
      <c r="I146" s="88"/>
      <c r="J146" s="88"/>
      <c r="K146" s="88"/>
      <c r="L146" s="88"/>
      <c r="M146" s="88"/>
      <c r="N146" s="88"/>
      <c r="O146" s="88"/>
      <c r="P146" s="88"/>
      <c r="Q146" s="88"/>
      <c r="R146" s="88"/>
      <c r="S146" s="88"/>
      <c r="T146" s="88"/>
      <c r="U146" s="88"/>
      <c r="V146" s="88"/>
      <c r="W146" s="88"/>
      <c r="X146" s="88"/>
      <c r="Y146" s="88"/>
      <c r="AC146" s="269"/>
      <c r="AD146" s="352"/>
    </row>
    <row r="147" spans="1:30" s="70" customFormat="1" ht="12">
      <c r="A147" s="55"/>
      <c r="B147" s="55"/>
      <c r="C147" s="62"/>
      <c r="D147" s="210"/>
      <c r="E147" s="221"/>
      <c r="F147" s="55"/>
      <c r="G147" s="67"/>
      <c r="H147" s="53"/>
      <c r="I147" s="53"/>
      <c r="J147" s="53"/>
      <c r="K147" s="53"/>
      <c r="L147" s="53"/>
      <c r="M147" s="53"/>
      <c r="N147" s="53"/>
      <c r="O147" s="53"/>
      <c r="P147" s="53"/>
      <c r="Q147" s="53"/>
      <c r="R147" s="53"/>
      <c r="S147" s="53"/>
      <c r="T147" s="53"/>
      <c r="U147" s="53"/>
      <c r="AC147" s="270"/>
      <c r="AD147" s="353"/>
    </row>
    <row r="148" spans="1:30" s="70" customFormat="1" ht="12">
      <c r="A148" s="55"/>
      <c r="B148" s="5" t="s">
        <v>352</v>
      </c>
      <c r="C148" s="45"/>
      <c r="D148" s="210"/>
      <c r="E148" s="217"/>
      <c r="G148" s="67"/>
      <c r="H148" s="53"/>
      <c r="I148" s="53"/>
      <c r="J148" s="53"/>
      <c r="K148" s="53"/>
      <c r="L148" s="53"/>
      <c r="M148" s="53"/>
      <c r="N148" s="53"/>
      <c r="O148" s="53"/>
      <c r="P148" s="53"/>
      <c r="Q148" s="53"/>
      <c r="R148" s="53"/>
      <c r="S148" s="53"/>
      <c r="T148" s="53"/>
      <c r="U148" s="53"/>
      <c r="AC148" s="270"/>
      <c r="AD148" s="353"/>
    </row>
    <row r="149" spans="1:30" s="70" customFormat="1" ht="12">
      <c r="A149" s="55"/>
      <c r="B149" s="70" t="s">
        <v>350</v>
      </c>
      <c r="C149" s="70" t="s">
        <v>350</v>
      </c>
      <c r="D149" s="210"/>
      <c r="E149" s="217"/>
      <c r="F149" s="249">
        <f>F29</f>
        <v>0</v>
      </c>
      <c r="G149" s="249">
        <f t="shared" ref="G149:AC149" si="39">G29</f>
        <v>0</v>
      </c>
      <c r="H149" s="249">
        <f t="shared" si="39"/>
        <v>0</v>
      </c>
      <c r="I149" s="249">
        <f t="shared" si="39"/>
        <v>0</v>
      </c>
      <c r="J149" s="249">
        <f t="shared" si="39"/>
        <v>1925.1646875213601</v>
      </c>
      <c r="K149" s="249">
        <f t="shared" si="39"/>
        <v>2653.3891611691356</v>
      </c>
      <c r="L149" s="249">
        <f t="shared" si="39"/>
        <v>2739.8920723097926</v>
      </c>
      <c r="M149" s="249">
        <f t="shared" si="39"/>
        <v>86.50291114065638</v>
      </c>
      <c r="N149" s="249">
        <f t="shared" si="39"/>
        <v>2828.5125657353465</v>
      </c>
      <c r="O149" s="249">
        <f t="shared" si="39"/>
        <v>2830.6301480202442</v>
      </c>
      <c r="P149" s="249">
        <f t="shared" si="39"/>
        <v>2832.7477303051428</v>
      </c>
      <c r="Q149" s="249">
        <f t="shared" si="39"/>
        <v>2834.86531259004</v>
      </c>
      <c r="R149" s="249">
        <f t="shared" si="39"/>
        <v>2836.9828948749378</v>
      </c>
      <c r="S149" s="249">
        <f t="shared" si="39"/>
        <v>2839.1004771598359</v>
      </c>
      <c r="T149" s="249">
        <f t="shared" si="39"/>
        <v>2841.2180594447327</v>
      </c>
      <c r="U149" s="249">
        <f t="shared" si="39"/>
        <v>2843.3356417296309</v>
      </c>
      <c r="V149" s="249">
        <f t="shared" si="39"/>
        <v>2845.4532240145286</v>
      </c>
      <c r="W149" s="249">
        <f t="shared" si="39"/>
        <v>2847.5708062994263</v>
      </c>
      <c r="X149" s="249">
        <f t="shared" si="39"/>
        <v>2871.0397770878426</v>
      </c>
      <c r="Y149" s="249">
        <f t="shared" si="39"/>
        <v>2873.1733198867896</v>
      </c>
      <c r="Z149" s="249">
        <f t="shared" si="39"/>
        <v>2875.3068626857366</v>
      </c>
      <c r="AA149" s="249">
        <f t="shared" si="39"/>
        <v>2877.4404054846832</v>
      </c>
      <c r="AB149" s="249">
        <f t="shared" si="39"/>
        <v>2879.5739482836298</v>
      </c>
      <c r="AC149" s="271">
        <f t="shared" si="39"/>
        <v>2881.7074910825772</v>
      </c>
      <c r="AD149" s="354">
        <f t="shared" si="33"/>
        <v>53043.607496826058</v>
      </c>
    </row>
    <row r="150" spans="1:30" s="70" customFormat="1" ht="12">
      <c r="A150" s="55"/>
      <c r="B150" s="53"/>
      <c r="C150" s="63" t="s">
        <v>131</v>
      </c>
      <c r="D150" s="210"/>
      <c r="E150" s="217"/>
      <c r="F150" s="45"/>
      <c r="G150" s="67"/>
      <c r="H150" s="53"/>
      <c r="I150" s="53"/>
      <c r="J150" s="53"/>
      <c r="K150" s="53"/>
      <c r="L150" s="53"/>
      <c r="M150" s="53"/>
      <c r="N150" s="53"/>
      <c r="O150" s="53"/>
      <c r="P150" s="53"/>
      <c r="Q150" s="53"/>
      <c r="R150" s="53"/>
      <c r="S150" s="53"/>
      <c r="T150" s="53"/>
      <c r="U150" s="53"/>
      <c r="AC150" s="270"/>
      <c r="AD150" s="353"/>
    </row>
    <row r="151" spans="1:30" s="70" customFormat="1" ht="12">
      <c r="A151" s="55"/>
      <c r="B151" s="53"/>
      <c r="C151" s="226" t="s">
        <v>412</v>
      </c>
      <c r="D151" s="465">
        <f>(1500/5280)/4</f>
        <v>7.1022727272727279E-2</v>
      </c>
      <c r="E151" s="217"/>
      <c r="F151" s="45"/>
      <c r="G151" s="67"/>
      <c r="H151" s="53"/>
      <c r="I151" s="53"/>
      <c r="J151" s="53"/>
      <c r="K151" s="53"/>
      <c r="L151" s="53"/>
      <c r="M151" s="53"/>
      <c r="N151" s="53"/>
      <c r="O151" s="53"/>
      <c r="P151" s="53"/>
      <c r="Q151" s="53"/>
      <c r="R151" s="53"/>
      <c r="S151" s="53"/>
      <c r="T151" s="53"/>
      <c r="U151" s="53"/>
      <c r="AC151" s="270"/>
      <c r="AD151" s="353"/>
    </row>
    <row r="152" spans="1:30" s="70" customFormat="1" ht="12">
      <c r="A152" s="55"/>
      <c r="B152" s="53"/>
      <c r="C152" s="224" t="s">
        <v>416</v>
      </c>
      <c r="D152" s="260">
        <f>'Mode Operating Assumptions'!C74</f>
        <v>25</v>
      </c>
      <c r="E152" s="217"/>
      <c r="F152" s="45"/>
      <c r="G152" s="67"/>
      <c r="H152" s="53"/>
      <c r="I152" s="53"/>
      <c r="J152" s="53"/>
      <c r="K152" s="53"/>
      <c r="L152" s="53"/>
      <c r="M152" s="53"/>
      <c r="N152" s="53"/>
      <c r="O152" s="53"/>
      <c r="P152" s="53"/>
      <c r="Q152" s="53"/>
      <c r="R152" s="53"/>
      <c r="S152" s="53"/>
      <c r="T152" s="53"/>
      <c r="U152" s="53"/>
      <c r="AC152" s="270"/>
      <c r="AD152" s="353"/>
    </row>
    <row r="153" spans="1:30" s="70" customFormat="1" ht="12">
      <c r="A153" s="55"/>
      <c r="B153" s="53"/>
      <c r="C153" s="62" t="s">
        <v>413</v>
      </c>
      <c r="D153" s="210"/>
      <c r="E153" s="217"/>
      <c r="F153" s="285">
        <f>$D$151*$D$152*F149</f>
        <v>0</v>
      </c>
      <c r="G153" s="285">
        <f t="shared" ref="G153:AC153" si="40">$D$151*$D$152*G149</f>
        <v>0</v>
      </c>
      <c r="H153" s="285">
        <f t="shared" si="40"/>
        <v>0</v>
      </c>
      <c r="I153" s="285">
        <f t="shared" si="40"/>
        <v>0</v>
      </c>
      <c r="J153" s="285">
        <f t="shared" si="40"/>
        <v>3418.2611639228694</v>
      </c>
      <c r="K153" s="285">
        <f t="shared" si="40"/>
        <v>4711.273368553153</v>
      </c>
      <c r="L153" s="285">
        <f t="shared" si="40"/>
        <v>4864.8651852091489</v>
      </c>
      <c r="M153" s="285">
        <f t="shared" si="40"/>
        <v>153.59181665599499</v>
      </c>
      <c r="N153" s="285">
        <f t="shared" si="40"/>
        <v>5022.2169135925897</v>
      </c>
      <c r="O153" s="285">
        <f t="shared" si="40"/>
        <v>5025.9768253200364</v>
      </c>
      <c r="P153" s="285">
        <f t="shared" si="40"/>
        <v>5029.736737047484</v>
      </c>
      <c r="Q153" s="285">
        <f t="shared" si="40"/>
        <v>5033.4966487749289</v>
      </c>
      <c r="R153" s="285">
        <f t="shared" si="40"/>
        <v>5037.2565605023756</v>
      </c>
      <c r="S153" s="285">
        <f t="shared" si="40"/>
        <v>5041.0164722298223</v>
      </c>
      <c r="T153" s="285">
        <f t="shared" si="40"/>
        <v>5044.7763839572672</v>
      </c>
      <c r="U153" s="285">
        <f t="shared" si="40"/>
        <v>5048.5362956847139</v>
      </c>
      <c r="V153" s="285">
        <f t="shared" si="40"/>
        <v>5052.2962074121606</v>
      </c>
      <c r="W153" s="285">
        <f t="shared" si="40"/>
        <v>5056.0561191396064</v>
      </c>
      <c r="X153" s="285">
        <f t="shared" si="40"/>
        <v>5097.7268769315388</v>
      </c>
      <c r="Y153" s="285">
        <f t="shared" si="40"/>
        <v>5101.5151276398965</v>
      </c>
      <c r="Z153" s="285">
        <f t="shared" si="40"/>
        <v>5105.3033783482542</v>
      </c>
      <c r="AA153" s="285">
        <f t="shared" si="40"/>
        <v>5109.0916290566111</v>
      </c>
      <c r="AB153" s="285">
        <f t="shared" si="40"/>
        <v>5112.8798797649679</v>
      </c>
      <c r="AC153" s="286">
        <f t="shared" si="40"/>
        <v>5116.6681304733265</v>
      </c>
      <c r="AD153" s="349">
        <f t="shared" si="33"/>
        <v>94182.54172021673</v>
      </c>
    </row>
    <row r="154" spans="1:30" s="70" customFormat="1" ht="12">
      <c r="A154" s="55"/>
      <c r="B154" s="44"/>
      <c r="C154" s="53"/>
      <c r="D154" s="210"/>
      <c r="E154" s="217"/>
      <c r="F154" s="53"/>
      <c r="G154" s="67"/>
      <c r="H154" s="53"/>
      <c r="I154" s="53"/>
      <c r="J154" s="53"/>
      <c r="K154" s="53"/>
      <c r="L154" s="53"/>
      <c r="M154" s="53"/>
      <c r="N154" s="53"/>
      <c r="O154" s="53"/>
      <c r="P154" s="53"/>
      <c r="Q154" s="53"/>
      <c r="R154" s="53"/>
      <c r="S154" s="53"/>
      <c r="T154" s="53"/>
      <c r="U154" s="53"/>
      <c r="AC154" s="270"/>
      <c r="AD154" s="353"/>
    </row>
    <row r="155" spans="1:30" s="70" customFormat="1" ht="12">
      <c r="A155" s="55"/>
      <c r="B155" s="70" t="s">
        <v>399</v>
      </c>
      <c r="C155" s="54" t="s">
        <v>418</v>
      </c>
      <c r="D155" s="210"/>
      <c r="E155" s="217"/>
      <c r="F155" s="244">
        <f>F30</f>
        <v>0</v>
      </c>
      <c r="G155" s="244">
        <f t="shared" ref="G155:AC155" si="41">G30</f>
        <v>0</v>
      </c>
      <c r="H155" s="244">
        <f t="shared" si="41"/>
        <v>0</v>
      </c>
      <c r="I155" s="244">
        <f t="shared" si="41"/>
        <v>0</v>
      </c>
      <c r="J155" s="244">
        <f t="shared" si="41"/>
        <v>481.29117188034002</v>
      </c>
      <c r="K155" s="244">
        <f t="shared" si="41"/>
        <v>663.3472902922839</v>
      </c>
      <c r="L155" s="244">
        <f t="shared" si="41"/>
        <v>684.97301807744816</v>
      </c>
      <c r="M155" s="244">
        <f t="shared" si="41"/>
        <v>21.625727785164095</v>
      </c>
      <c r="N155" s="244">
        <f t="shared" si="41"/>
        <v>707.12814143383662</v>
      </c>
      <c r="O155" s="244">
        <f t="shared" si="41"/>
        <v>707.65753700506104</v>
      </c>
      <c r="P155" s="244">
        <f t="shared" si="41"/>
        <v>708.1869325762857</v>
      </c>
      <c r="Q155" s="244">
        <f t="shared" si="41"/>
        <v>708.71632814751001</v>
      </c>
      <c r="R155" s="244">
        <f t="shared" si="41"/>
        <v>709.24572371873444</v>
      </c>
      <c r="S155" s="244">
        <f t="shared" si="41"/>
        <v>709.77511928995898</v>
      </c>
      <c r="T155" s="244">
        <f t="shared" si="41"/>
        <v>710.30451486118318</v>
      </c>
      <c r="U155" s="244">
        <f t="shared" si="41"/>
        <v>710.83391043240772</v>
      </c>
      <c r="V155" s="244">
        <f t="shared" si="41"/>
        <v>711.36330600363215</v>
      </c>
      <c r="W155" s="244">
        <f t="shared" si="41"/>
        <v>711.89270157485657</v>
      </c>
      <c r="X155" s="244">
        <f t="shared" si="41"/>
        <v>717.75994427196065</v>
      </c>
      <c r="Y155" s="244">
        <f t="shared" si="41"/>
        <v>718.2933299716974</v>
      </c>
      <c r="Z155" s="244">
        <f t="shared" si="41"/>
        <v>718.82671567143416</v>
      </c>
      <c r="AA155" s="244">
        <f t="shared" si="41"/>
        <v>719.3601013711708</v>
      </c>
      <c r="AB155" s="244">
        <f t="shared" si="41"/>
        <v>719.89348707090744</v>
      </c>
      <c r="AC155" s="265">
        <f t="shared" si="41"/>
        <v>720.42687277064431</v>
      </c>
      <c r="AD155" s="340">
        <f t="shared" si="33"/>
        <v>13260.901874206515</v>
      </c>
    </row>
    <row r="156" spans="1:30" s="70" customFormat="1" ht="12">
      <c r="A156" s="55"/>
      <c r="C156" s="63" t="s">
        <v>131</v>
      </c>
      <c r="D156" s="210"/>
      <c r="E156" s="217"/>
      <c r="F156" s="45"/>
      <c r="G156" s="67"/>
      <c r="H156" s="45"/>
      <c r="I156" s="45"/>
      <c r="J156" s="45"/>
      <c r="K156" s="45"/>
      <c r="L156" s="45"/>
      <c r="M156" s="45"/>
      <c r="N156" s="45"/>
      <c r="O156" s="45"/>
      <c r="P156" s="45"/>
      <c r="Q156" s="45"/>
      <c r="R156" s="45"/>
      <c r="S156" s="45"/>
      <c r="T156" s="45"/>
      <c r="U156" s="45"/>
      <c r="V156" s="55"/>
      <c r="W156" s="55"/>
      <c r="X156" s="55"/>
      <c r="Y156" s="55"/>
      <c r="Z156" s="55"/>
      <c r="AA156" s="55"/>
      <c r="AB156" s="55"/>
      <c r="AC156" s="270"/>
      <c r="AD156" s="353"/>
    </row>
    <row r="157" spans="1:30" s="70" customFormat="1" ht="12">
      <c r="A157" s="55"/>
      <c r="C157" s="224" t="s">
        <v>387</v>
      </c>
      <c r="D157" s="210"/>
      <c r="E157" s="217"/>
      <c r="F157" s="298">
        <f>'Mode Operating Assumptions'!D66</f>
        <v>0.55766946452803934</v>
      </c>
      <c r="G157" s="298">
        <f>'Mode Operating Assumptions'!E66</f>
        <v>0.55872381266143489</v>
      </c>
      <c r="H157" s="298">
        <f>'Mode Operating Assumptions'!F66</f>
        <v>0.55978541190494846</v>
      </c>
      <c r="I157" s="298">
        <f>'Mode Operating Assumptions'!G66</f>
        <v>0.56085433731920831</v>
      </c>
      <c r="J157" s="298">
        <f>'Mode Operating Assumptions'!H66</f>
        <v>0.56193066500442701</v>
      </c>
      <c r="K157" s="298">
        <f>'Mode Operating Assumptions'!I66</f>
        <v>0.56301447211846201</v>
      </c>
      <c r="L157" s="298">
        <f>'Mode Operating Assumptions'!J66</f>
        <v>0.56410583689525362</v>
      </c>
      <c r="M157" s="298">
        <f>'Mode Operating Assumptions'!K66</f>
        <v>0.5652048386636499</v>
      </c>
      <c r="N157" s="298">
        <f>'Mode Operating Assumptions'!L66</f>
        <v>0.56631155786662835</v>
      </c>
      <c r="O157" s="298">
        <f>'Mode Operating Assumptions'!M66</f>
        <v>0.56742607608092421</v>
      </c>
      <c r="P157" s="298">
        <f>'Mode Operating Assumptions'!N66</f>
        <v>0.56854847603707515</v>
      </c>
      <c r="Q157" s="298">
        <f>'Mode Operating Assumptions'!O66</f>
        <v>0.56967884163989191</v>
      </c>
      <c r="R157" s="298">
        <f>'Mode Operating Assumptions'!P66</f>
        <v>0.57081725798936778</v>
      </c>
      <c r="S157" s="298">
        <f>'Mode Operating Assumptions'!Q66</f>
        <v>0.57196381140203456</v>
      </c>
      <c r="T157" s="298">
        <f>'Mode Operating Assumptions'!R66</f>
        <v>0.57311858943278038</v>
      </c>
      <c r="U157" s="298">
        <f>'Mode Operating Assumptions'!S66</f>
        <v>0.57428168089713683</v>
      </c>
      <c r="V157" s="298">
        <f>'Mode Operating Assumptions'!T66</f>
        <v>0.57545317589404976</v>
      </c>
      <c r="W157" s="298">
        <f>'Mode Operating Assumptions'!U66</f>
        <v>0.5766331658291457</v>
      </c>
      <c r="X157" s="298">
        <f>'Mode Operating Assumptions'!V66</f>
        <v>0.57782174343850667</v>
      </c>
      <c r="Y157" s="298">
        <f>'Mode Operating Assumptions'!W66</f>
        <v>0.57901900281296448</v>
      </c>
      <c r="Z157" s="298">
        <f>'Mode Operating Assumptions'!X66</f>
        <v>0.58022503942293058</v>
      </c>
      <c r="AA157" s="298">
        <f>'Mode Operating Assumptions'!Y66</f>
        <v>0.58143995014377425</v>
      </c>
      <c r="AB157" s="298">
        <f>'Mode Operating Assumptions'!Z66</f>
        <v>0.58266383328176174</v>
      </c>
      <c r="AC157" s="301">
        <f>'Mode Operating Assumptions'!AA66</f>
        <v>0.58389678860057326</v>
      </c>
      <c r="AD157" s="345">
        <f t="shared" si="33"/>
        <v>13.690587829864969</v>
      </c>
    </row>
    <row r="158" spans="1:30" s="70" customFormat="1" ht="12">
      <c r="A158" s="55"/>
      <c r="C158" s="224" t="s">
        <v>404</v>
      </c>
      <c r="D158" s="465">
        <f>'Mode Operating Assumptions'!C150</f>
        <v>0.38127571701364549</v>
      </c>
      <c r="E158" s="217"/>
      <c r="F158" s="45"/>
      <c r="G158" s="67"/>
      <c r="H158" s="45"/>
      <c r="I158" s="45"/>
      <c r="J158" s="45"/>
      <c r="K158" s="45"/>
      <c r="L158" s="45"/>
      <c r="M158" s="45"/>
      <c r="N158" s="45"/>
      <c r="O158" s="45"/>
      <c r="P158" s="45"/>
      <c r="Q158" s="45"/>
      <c r="R158" s="45"/>
      <c r="S158" s="45"/>
      <c r="T158" s="45"/>
      <c r="U158" s="45"/>
      <c r="V158" s="55"/>
      <c r="W158" s="55"/>
      <c r="X158" s="55"/>
      <c r="Y158" s="55"/>
      <c r="Z158" s="55"/>
      <c r="AA158" s="55"/>
      <c r="AB158" s="55"/>
      <c r="AC158" s="270"/>
      <c r="AD158" s="353"/>
    </row>
    <row r="159" spans="1:30" s="70" customFormat="1" ht="12">
      <c r="A159" s="55"/>
      <c r="C159" s="224" t="s">
        <v>431</v>
      </c>
      <c r="D159" s="210">
        <f>'Mode Operating Assumptions'!C73</f>
        <v>0.2</v>
      </c>
      <c r="E159" s="217"/>
      <c r="F159" s="45"/>
      <c r="G159" s="67"/>
      <c r="H159" s="45"/>
      <c r="I159" s="45"/>
      <c r="J159" s="45"/>
      <c r="K159" s="45"/>
      <c r="L159" s="45"/>
      <c r="M159" s="45"/>
      <c r="N159" s="45"/>
      <c r="O159" s="45"/>
      <c r="P159" s="45"/>
      <c r="Q159" s="45"/>
      <c r="R159" s="45"/>
      <c r="S159" s="45"/>
      <c r="T159" s="45"/>
      <c r="U159" s="45"/>
      <c r="V159" s="55"/>
      <c r="W159" s="55"/>
      <c r="X159" s="55"/>
      <c r="Y159" s="55"/>
      <c r="Z159" s="55"/>
      <c r="AA159" s="55"/>
      <c r="AB159" s="55"/>
      <c r="AC159" s="270"/>
      <c r="AD159" s="353"/>
    </row>
    <row r="160" spans="1:30" s="70" customFormat="1" ht="12">
      <c r="A160" s="55"/>
      <c r="B160" s="53"/>
      <c r="C160" s="224" t="s">
        <v>384</v>
      </c>
      <c r="D160" s="253">
        <f>'Mode Operating Assumptions'!C30</f>
        <v>12.5</v>
      </c>
      <c r="E160" s="217"/>
      <c r="F160" s="45"/>
      <c r="G160" s="67"/>
      <c r="H160" s="45"/>
      <c r="I160" s="45"/>
      <c r="J160" s="45"/>
      <c r="K160" s="45"/>
      <c r="L160" s="45"/>
      <c r="M160" s="45"/>
      <c r="N160" s="45"/>
      <c r="O160" s="45"/>
      <c r="P160" s="45"/>
      <c r="Q160" s="45"/>
      <c r="R160" s="45"/>
      <c r="S160" s="45"/>
      <c r="T160" s="45"/>
      <c r="U160" s="45"/>
      <c r="V160" s="55"/>
      <c r="W160" s="55"/>
      <c r="X160" s="55"/>
      <c r="Y160" s="55"/>
      <c r="Z160" s="55"/>
      <c r="AA160" s="55"/>
      <c r="AB160" s="55"/>
      <c r="AC160" s="270"/>
      <c r="AD160" s="353"/>
    </row>
    <row r="161" spans="1:30" s="70" customFormat="1" ht="12">
      <c r="A161" s="55"/>
      <c r="C161" s="224" t="s">
        <v>385</v>
      </c>
      <c r="D161" s="253">
        <f>'Mode Operating Assumptions'!C151</f>
        <v>12.5</v>
      </c>
      <c r="E161" s="217"/>
      <c r="F161" s="45"/>
      <c r="G161" s="67"/>
      <c r="H161" s="45"/>
      <c r="I161" s="45"/>
      <c r="J161" s="45"/>
      <c r="K161" s="45"/>
      <c r="L161" s="45"/>
      <c r="M161" s="45"/>
      <c r="N161" s="45"/>
      <c r="O161" s="45"/>
      <c r="P161" s="45"/>
      <c r="Q161" s="45"/>
      <c r="R161" s="45"/>
      <c r="S161" s="45"/>
      <c r="T161" s="45"/>
      <c r="U161" s="45"/>
      <c r="V161" s="55"/>
      <c r="W161" s="55"/>
      <c r="X161" s="55"/>
      <c r="Y161" s="55"/>
      <c r="Z161" s="55"/>
      <c r="AA161" s="55"/>
      <c r="AB161" s="55"/>
      <c r="AC161" s="270"/>
      <c r="AD161" s="353"/>
    </row>
    <row r="162" spans="1:30" s="70" customFormat="1" ht="12">
      <c r="A162" s="55"/>
      <c r="C162" s="224" t="s">
        <v>416</v>
      </c>
      <c r="D162" s="253">
        <f>D152</f>
        <v>25</v>
      </c>
      <c r="E162" s="217"/>
      <c r="F162" s="45"/>
      <c r="G162" s="67"/>
      <c r="H162" s="45"/>
      <c r="I162" s="45"/>
      <c r="J162" s="45"/>
      <c r="K162" s="45"/>
      <c r="L162" s="45"/>
      <c r="M162" s="45"/>
      <c r="N162" s="45"/>
      <c r="O162" s="45"/>
      <c r="P162" s="45"/>
      <c r="Q162" s="45"/>
      <c r="R162" s="45"/>
      <c r="S162" s="45"/>
      <c r="T162" s="45"/>
      <c r="U162" s="45"/>
      <c r="V162" s="55"/>
      <c r="W162" s="55"/>
      <c r="X162" s="55"/>
      <c r="Y162" s="55"/>
      <c r="Z162" s="55"/>
      <c r="AA162" s="55"/>
      <c r="AB162" s="55"/>
      <c r="AC162" s="270"/>
      <c r="AD162" s="353"/>
    </row>
    <row r="163" spans="1:30" s="70" customFormat="1" ht="12">
      <c r="A163" s="55"/>
      <c r="C163" s="78" t="s">
        <v>480</v>
      </c>
      <c r="D163" s="253"/>
      <c r="E163" s="217"/>
      <c r="F163" s="255">
        <f>+(F157*$D$160)-($D$158*$D$161)-($D$159*$D$162)</f>
        <v>-2.795078156070077</v>
      </c>
      <c r="G163" s="255">
        <f t="shared" ref="G163:AC163" si="42">+(G157*$D$160)-($D$158*$D$161)-($D$159*$D$162)</f>
        <v>-2.7818988044026325</v>
      </c>
      <c r="H163" s="255">
        <f t="shared" si="42"/>
        <v>-2.7686288138587134</v>
      </c>
      <c r="I163" s="255">
        <f t="shared" si="42"/>
        <v>-2.7552672461804653</v>
      </c>
      <c r="J163" s="255">
        <f t="shared" si="42"/>
        <v>-2.741813150115231</v>
      </c>
      <c r="K163" s="255">
        <f t="shared" si="42"/>
        <v>-2.7282655611897937</v>
      </c>
      <c r="L163" s="255">
        <f t="shared" si="42"/>
        <v>-2.7146235014798989</v>
      </c>
      <c r="M163" s="255">
        <f t="shared" si="42"/>
        <v>-2.7008859793749451</v>
      </c>
      <c r="N163" s="255">
        <f t="shared" si="42"/>
        <v>-2.6870519893377143</v>
      </c>
      <c r="O163" s="255">
        <f t="shared" si="42"/>
        <v>-2.6731205116590164</v>
      </c>
      <c r="P163" s="255">
        <f t="shared" si="42"/>
        <v>-2.65909051220713</v>
      </c>
      <c r="Q163" s="255">
        <f t="shared" si="42"/>
        <v>-2.6449609421719202</v>
      </c>
      <c r="R163" s="255">
        <f t="shared" si="42"/>
        <v>-2.6307307378034714</v>
      </c>
      <c r="S163" s="255">
        <f t="shared" si="42"/>
        <v>-2.6163988201451369</v>
      </c>
      <c r="T163" s="255">
        <f t="shared" si="42"/>
        <v>-2.601964094760814</v>
      </c>
      <c r="U163" s="255">
        <f t="shared" si="42"/>
        <v>-2.587425451456359</v>
      </c>
      <c r="V163" s="255">
        <f t="shared" si="42"/>
        <v>-2.5727817639949473</v>
      </c>
      <c r="W163" s="255">
        <f t="shared" si="42"/>
        <v>-2.558031889806248</v>
      </c>
      <c r="X163" s="255">
        <f t="shared" si="42"/>
        <v>-2.5431746696892352</v>
      </c>
      <c r="Y163" s="255">
        <f t="shared" si="42"/>
        <v>-2.5282089275085129</v>
      </c>
      <c r="Z163" s="255">
        <f t="shared" si="42"/>
        <v>-2.5131334698839369</v>
      </c>
      <c r="AA163" s="255">
        <f t="shared" si="42"/>
        <v>-2.497947085873391</v>
      </c>
      <c r="AB163" s="255">
        <f t="shared" si="42"/>
        <v>-2.4826485466485471</v>
      </c>
      <c r="AC163" s="268">
        <f t="shared" si="42"/>
        <v>-2.4672366051634036</v>
      </c>
      <c r="AD163" s="346">
        <f t="shared" si="33"/>
        <v>-63.250367230781549</v>
      </c>
    </row>
    <row r="164" spans="1:30" s="70" customFormat="1" ht="12">
      <c r="A164" s="55"/>
      <c r="D164" s="210"/>
      <c r="E164" s="217"/>
      <c r="F164" s="255">
        <f>F163*F155</f>
        <v>0</v>
      </c>
      <c r="G164" s="255">
        <f t="shared" ref="G164:AC164" si="43">G163*G155</f>
        <v>0</v>
      </c>
      <c r="H164" s="255">
        <f t="shared" si="43"/>
        <v>0</v>
      </c>
      <c r="I164" s="255">
        <f t="shared" si="43"/>
        <v>0</v>
      </c>
      <c r="J164" s="255">
        <f t="shared" si="43"/>
        <v>-1319.6104640958861</v>
      </c>
      <c r="K164" s="255">
        <f t="shared" si="43"/>
        <v>-1809.7875672130069</v>
      </c>
      <c r="L164" s="255">
        <f t="shared" si="43"/>
        <v>-1859.4438527526565</v>
      </c>
      <c r="M164" s="255">
        <f t="shared" si="43"/>
        <v>-58.408624968728887</v>
      </c>
      <c r="N164" s="255">
        <f t="shared" si="43"/>
        <v>-1900.0900791564713</v>
      </c>
      <c r="O164" s="255">
        <f t="shared" si="43"/>
        <v>-1891.6538773983282</v>
      </c>
      <c r="P164" s="255">
        <f t="shared" si="43"/>
        <v>-1883.1331532826719</v>
      </c>
      <c r="Q164" s="255">
        <f t="shared" si="43"/>
        <v>-1874.5270070296619</v>
      </c>
      <c r="R164" s="255">
        <f t="shared" si="43"/>
        <v>-1865.8345260425433</v>
      </c>
      <c r="S164" s="255">
        <f t="shared" si="43"/>
        <v>-1857.0547846786226</v>
      </c>
      <c r="T164" s="255">
        <f t="shared" si="43"/>
        <v>-1848.1868440152978</v>
      </c>
      <c r="U164" s="255">
        <f t="shared" si="43"/>
        <v>-1839.2297516110616</v>
      </c>
      <c r="V164" s="255">
        <f t="shared" si="43"/>
        <v>-1830.1825412613023</v>
      </c>
      <c r="W164" s="255">
        <f t="shared" si="43"/>
        <v>-1821.0442327488056</v>
      </c>
      <c r="X164" s="255">
        <f t="shared" si="43"/>
        <v>-1825.3889091900073</v>
      </c>
      <c r="Y164" s="255">
        <f t="shared" si="43"/>
        <v>-1815.9956094042634</v>
      </c>
      <c r="Z164" s="255">
        <f t="shared" si="43"/>
        <v>-1806.5074782006254</v>
      </c>
      <c r="AA164" s="255">
        <f t="shared" si="43"/>
        <v>-1796.9234689137031</v>
      </c>
      <c r="AB164" s="255">
        <f t="shared" si="43"/>
        <v>-1787.2425194183429</v>
      </c>
      <c r="AC164" s="268">
        <f t="shared" si="43"/>
        <v>-1777.4635518431317</v>
      </c>
      <c r="AD164" s="346">
        <f t="shared" si="33"/>
        <v>-34467.708843225126</v>
      </c>
    </row>
    <row r="165" spans="1:30" s="70" customFormat="1" ht="12">
      <c r="A165" s="55"/>
      <c r="C165" s="62" t="s">
        <v>413</v>
      </c>
      <c r="D165" s="253"/>
      <c r="E165" s="217"/>
      <c r="F165" s="409">
        <f>F164</f>
        <v>0</v>
      </c>
      <c r="G165" s="409">
        <f t="shared" ref="G165:AC165" si="44">G164</f>
        <v>0</v>
      </c>
      <c r="H165" s="409">
        <f t="shared" si="44"/>
        <v>0</v>
      </c>
      <c r="I165" s="409">
        <f t="shared" si="44"/>
        <v>0</v>
      </c>
      <c r="J165" s="409">
        <f t="shared" si="44"/>
        <v>-1319.6104640958861</v>
      </c>
      <c r="K165" s="409">
        <f t="shared" si="44"/>
        <v>-1809.7875672130069</v>
      </c>
      <c r="L165" s="409">
        <f t="shared" si="44"/>
        <v>-1859.4438527526565</v>
      </c>
      <c r="M165" s="409">
        <f t="shared" si="44"/>
        <v>-58.408624968728887</v>
      </c>
      <c r="N165" s="409">
        <f t="shared" si="44"/>
        <v>-1900.0900791564713</v>
      </c>
      <c r="O165" s="409">
        <f t="shared" si="44"/>
        <v>-1891.6538773983282</v>
      </c>
      <c r="P165" s="409">
        <f t="shared" si="44"/>
        <v>-1883.1331532826719</v>
      </c>
      <c r="Q165" s="409">
        <f t="shared" si="44"/>
        <v>-1874.5270070296619</v>
      </c>
      <c r="R165" s="409">
        <f t="shared" si="44"/>
        <v>-1865.8345260425433</v>
      </c>
      <c r="S165" s="409">
        <f t="shared" si="44"/>
        <v>-1857.0547846786226</v>
      </c>
      <c r="T165" s="409">
        <f t="shared" si="44"/>
        <v>-1848.1868440152978</v>
      </c>
      <c r="U165" s="409">
        <f t="shared" si="44"/>
        <v>-1839.2297516110616</v>
      </c>
      <c r="V165" s="409">
        <f t="shared" si="44"/>
        <v>-1830.1825412613023</v>
      </c>
      <c r="W165" s="409">
        <f t="shared" si="44"/>
        <v>-1821.0442327488056</v>
      </c>
      <c r="X165" s="409">
        <f t="shared" si="44"/>
        <v>-1825.3889091900073</v>
      </c>
      <c r="Y165" s="409">
        <f t="shared" si="44"/>
        <v>-1815.9956094042634</v>
      </c>
      <c r="Z165" s="409">
        <f t="shared" si="44"/>
        <v>-1806.5074782006254</v>
      </c>
      <c r="AA165" s="409">
        <f t="shared" si="44"/>
        <v>-1796.9234689137031</v>
      </c>
      <c r="AB165" s="409">
        <f t="shared" si="44"/>
        <v>-1787.2425194183429</v>
      </c>
      <c r="AC165" s="410">
        <f t="shared" si="44"/>
        <v>-1777.4635518431317</v>
      </c>
      <c r="AD165" s="411">
        <f t="shared" si="33"/>
        <v>-34467.708843225126</v>
      </c>
    </row>
    <row r="166" spans="1:30" s="70" customFormat="1" ht="12">
      <c r="A166" s="55"/>
      <c r="C166" s="53"/>
      <c r="D166" s="253"/>
      <c r="E166" s="217"/>
      <c r="F166" s="45"/>
      <c r="G166" s="45"/>
      <c r="H166" s="45"/>
      <c r="I166" s="45"/>
      <c r="J166" s="45"/>
      <c r="K166" s="45"/>
      <c r="L166" s="45"/>
      <c r="M166" s="45"/>
      <c r="N166" s="45"/>
      <c r="O166" s="45"/>
      <c r="P166" s="45"/>
      <c r="Q166" s="45"/>
      <c r="R166" s="45"/>
      <c r="S166" s="45"/>
      <c r="T166" s="45"/>
      <c r="U166" s="45"/>
      <c r="V166" s="45"/>
      <c r="W166" s="45"/>
      <c r="X166" s="45"/>
      <c r="Y166" s="45"/>
      <c r="Z166" s="45"/>
      <c r="AA166" s="45"/>
      <c r="AB166" s="45"/>
      <c r="AC166" s="263"/>
      <c r="AD166" s="338"/>
    </row>
    <row r="167" spans="1:30" s="70" customFormat="1" ht="12">
      <c r="A167" s="55"/>
      <c r="C167" s="63" t="s">
        <v>149</v>
      </c>
      <c r="D167" s="253"/>
      <c r="E167" s="217"/>
      <c r="F167" s="45"/>
      <c r="G167" s="45"/>
      <c r="H167" s="45"/>
      <c r="I167" s="45"/>
      <c r="J167" s="45"/>
      <c r="K167" s="45"/>
      <c r="L167" s="45"/>
      <c r="M167" s="45"/>
      <c r="N167" s="45"/>
      <c r="O167" s="45"/>
      <c r="P167" s="45"/>
      <c r="Q167" s="45"/>
      <c r="R167" s="45"/>
      <c r="S167" s="45"/>
      <c r="T167" s="45"/>
      <c r="U167" s="45"/>
      <c r="V167" s="45"/>
      <c r="W167" s="45"/>
      <c r="X167" s="45"/>
      <c r="Y167" s="45"/>
      <c r="Z167" s="45"/>
      <c r="AA167" s="45"/>
      <c r="AB167" s="45"/>
      <c r="AC167" s="263"/>
      <c r="AD167" s="338"/>
    </row>
    <row r="168" spans="1:30" s="70" customFormat="1" ht="12">
      <c r="A168" s="55"/>
      <c r="C168" s="224" t="s">
        <v>460</v>
      </c>
      <c r="D168" s="253">
        <f>'Mode Operating Assumptions'!C69</f>
        <v>5.44</v>
      </c>
      <c r="E168" s="217"/>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263"/>
      <c r="AD168" s="338"/>
    </row>
    <row r="169" spans="1:30" s="70" customFormat="1" ht="12">
      <c r="A169" s="55"/>
      <c r="C169" s="225" t="s">
        <v>461</v>
      </c>
      <c r="D169" s="253">
        <f>'Mode Operating Assumptions'!C76</f>
        <v>1.3</v>
      </c>
      <c r="E169" s="217"/>
      <c r="F169" s="45"/>
      <c r="G169" s="45"/>
      <c r="H169" s="45"/>
      <c r="I169" s="45"/>
      <c r="J169" s="45"/>
      <c r="K169" s="45"/>
      <c r="L169" s="45"/>
      <c r="M169" s="45"/>
      <c r="N169" s="45"/>
      <c r="O169" s="45"/>
      <c r="P169" s="45"/>
      <c r="Q169" s="45"/>
      <c r="R169" s="45"/>
      <c r="S169" s="45"/>
      <c r="T169" s="45"/>
      <c r="U169" s="45"/>
      <c r="V169" s="45"/>
      <c r="W169" s="45"/>
      <c r="X169" s="45"/>
      <c r="Y169" s="45"/>
      <c r="Z169" s="45"/>
      <c r="AA169" s="45"/>
      <c r="AB169" s="45"/>
      <c r="AC169" s="263"/>
      <c r="AD169" s="338"/>
    </row>
    <row r="170" spans="1:30" s="70" customFormat="1" ht="12">
      <c r="A170" s="55"/>
      <c r="C170" s="224" t="s">
        <v>481</v>
      </c>
      <c r="D170" s="253">
        <f>'Mode Operating Assumptions'!C75</f>
        <v>0.3</v>
      </c>
      <c r="E170" s="217"/>
      <c r="F170" s="45"/>
      <c r="G170" s="45"/>
      <c r="H170" s="45"/>
      <c r="I170" s="45"/>
      <c r="J170" s="45"/>
      <c r="K170" s="45"/>
      <c r="L170" s="45"/>
      <c r="M170" s="45"/>
      <c r="N170" s="45"/>
      <c r="O170" s="45"/>
      <c r="P170" s="45"/>
      <c r="Q170" s="45"/>
      <c r="R170" s="45"/>
      <c r="S170" s="45"/>
      <c r="T170" s="45"/>
      <c r="U170" s="45"/>
      <c r="V170" s="45"/>
      <c r="W170" s="45"/>
      <c r="X170" s="45"/>
      <c r="Y170" s="45"/>
      <c r="Z170" s="45"/>
      <c r="AA170" s="45"/>
      <c r="AB170" s="45"/>
      <c r="AC170" s="263"/>
      <c r="AD170" s="338"/>
    </row>
    <row r="171" spans="1:30" s="70" customFormat="1" ht="12">
      <c r="A171" s="55"/>
      <c r="C171" s="78" t="s">
        <v>482</v>
      </c>
      <c r="D171" s="253">
        <f>+D168-D169-D170</f>
        <v>3.8400000000000007</v>
      </c>
      <c r="E171" s="217"/>
      <c r="F171" s="255">
        <f t="shared" ref="F171:AC171" si="45">$D171*F155</f>
        <v>0</v>
      </c>
      <c r="G171" s="255">
        <f t="shared" si="45"/>
        <v>0</v>
      </c>
      <c r="H171" s="255">
        <f t="shared" si="45"/>
        <v>0</v>
      </c>
      <c r="I171" s="255">
        <f t="shared" si="45"/>
        <v>0</v>
      </c>
      <c r="J171" s="255">
        <f t="shared" si="45"/>
        <v>1848.158100020506</v>
      </c>
      <c r="K171" s="255">
        <f t="shared" si="45"/>
        <v>2547.2535947223705</v>
      </c>
      <c r="L171" s="255">
        <f t="shared" si="45"/>
        <v>2630.2963894174013</v>
      </c>
      <c r="M171" s="255">
        <f t="shared" si="45"/>
        <v>83.042794695030139</v>
      </c>
      <c r="N171" s="255">
        <f t="shared" si="45"/>
        <v>2715.3720631059332</v>
      </c>
      <c r="O171" s="255">
        <f t="shared" si="45"/>
        <v>2717.4049420994347</v>
      </c>
      <c r="P171" s="255">
        <f t="shared" si="45"/>
        <v>2719.4378210929376</v>
      </c>
      <c r="Q171" s="255">
        <f t="shared" si="45"/>
        <v>2721.4707000864391</v>
      </c>
      <c r="R171" s="255">
        <f t="shared" si="45"/>
        <v>2723.5035790799407</v>
      </c>
      <c r="S171" s="255">
        <f t="shared" si="45"/>
        <v>2725.5364580734431</v>
      </c>
      <c r="T171" s="255">
        <f t="shared" si="45"/>
        <v>2727.5693370669437</v>
      </c>
      <c r="U171" s="255">
        <f t="shared" si="45"/>
        <v>2729.6022160604462</v>
      </c>
      <c r="V171" s="255">
        <f t="shared" si="45"/>
        <v>2731.6350950539481</v>
      </c>
      <c r="W171" s="255">
        <f t="shared" si="45"/>
        <v>2733.6679740474497</v>
      </c>
      <c r="X171" s="255">
        <f t="shared" si="45"/>
        <v>2756.1981860043293</v>
      </c>
      <c r="Y171" s="255">
        <f t="shared" si="45"/>
        <v>2758.2463870913184</v>
      </c>
      <c r="Z171" s="255">
        <f t="shared" si="45"/>
        <v>2760.2945881783075</v>
      </c>
      <c r="AA171" s="255">
        <f t="shared" si="45"/>
        <v>2762.3427892652962</v>
      </c>
      <c r="AB171" s="255">
        <f t="shared" si="45"/>
        <v>2764.3909903522849</v>
      </c>
      <c r="AC171" s="268">
        <f t="shared" si="45"/>
        <v>2766.4391914392745</v>
      </c>
      <c r="AD171" s="346">
        <f t="shared" si="33"/>
        <v>50921.863196953047</v>
      </c>
    </row>
    <row r="172" spans="1:30" s="70" customFormat="1" ht="12">
      <c r="A172" s="55"/>
      <c r="C172" s="62" t="s">
        <v>414</v>
      </c>
      <c r="D172" s="210"/>
      <c r="E172" s="217"/>
      <c r="F172" s="409">
        <f>F171</f>
        <v>0</v>
      </c>
      <c r="G172" s="409">
        <f t="shared" ref="G172:AC172" si="46">G171</f>
        <v>0</v>
      </c>
      <c r="H172" s="409">
        <f t="shared" si="46"/>
        <v>0</v>
      </c>
      <c r="I172" s="409">
        <f t="shared" si="46"/>
        <v>0</v>
      </c>
      <c r="J172" s="409">
        <f t="shared" si="46"/>
        <v>1848.158100020506</v>
      </c>
      <c r="K172" s="409">
        <f t="shared" si="46"/>
        <v>2547.2535947223705</v>
      </c>
      <c r="L172" s="409">
        <f t="shared" si="46"/>
        <v>2630.2963894174013</v>
      </c>
      <c r="M172" s="409">
        <f t="shared" si="46"/>
        <v>83.042794695030139</v>
      </c>
      <c r="N172" s="409">
        <f t="shared" si="46"/>
        <v>2715.3720631059332</v>
      </c>
      <c r="O172" s="409">
        <f t="shared" si="46"/>
        <v>2717.4049420994347</v>
      </c>
      <c r="P172" s="409">
        <f t="shared" si="46"/>
        <v>2719.4378210929376</v>
      </c>
      <c r="Q172" s="409">
        <f t="shared" si="46"/>
        <v>2721.4707000864391</v>
      </c>
      <c r="R172" s="409">
        <f t="shared" si="46"/>
        <v>2723.5035790799407</v>
      </c>
      <c r="S172" s="409">
        <f t="shared" si="46"/>
        <v>2725.5364580734431</v>
      </c>
      <c r="T172" s="409">
        <f t="shared" si="46"/>
        <v>2727.5693370669437</v>
      </c>
      <c r="U172" s="409">
        <f t="shared" si="46"/>
        <v>2729.6022160604462</v>
      </c>
      <c r="V172" s="409">
        <f t="shared" si="46"/>
        <v>2731.6350950539481</v>
      </c>
      <c r="W172" s="409">
        <f t="shared" si="46"/>
        <v>2733.6679740474497</v>
      </c>
      <c r="X172" s="409">
        <f t="shared" si="46"/>
        <v>2756.1981860043293</v>
      </c>
      <c r="Y172" s="409">
        <f t="shared" si="46"/>
        <v>2758.2463870913184</v>
      </c>
      <c r="Z172" s="409">
        <f t="shared" si="46"/>
        <v>2760.2945881783075</v>
      </c>
      <c r="AA172" s="409">
        <f t="shared" si="46"/>
        <v>2762.3427892652962</v>
      </c>
      <c r="AB172" s="409">
        <f t="shared" si="46"/>
        <v>2764.3909903522849</v>
      </c>
      <c r="AC172" s="410">
        <f t="shared" si="46"/>
        <v>2766.4391914392745</v>
      </c>
      <c r="AD172" s="411">
        <f t="shared" si="33"/>
        <v>50921.863196953047</v>
      </c>
    </row>
    <row r="173" spans="1:30" s="70" customFormat="1" ht="12">
      <c r="A173" s="55"/>
      <c r="B173" s="55"/>
      <c r="C173" s="62"/>
      <c r="D173" s="210"/>
      <c r="E173" s="221"/>
      <c r="F173" s="55"/>
      <c r="G173" s="67"/>
      <c r="H173" s="53"/>
      <c r="I173" s="53"/>
      <c r="J173" s="53"/>
      <c r="K173" s="53"/>
      <c r="L173" s="53"/>
      <c r="M173" s="53"/>
      <c r="N173" s="53"/>
      <c r="O173" s="53"/>
      <c r="P173" s="53"/>
      <c r="Q173" s="53"/>
      <c r="R173" s="53"/>
      <c r="S173" s="53"/>
      <c r="T173" s="53"/>
      <c r="U173" s="53"/>
      <c r="AC173" s="270"/>
      <c r="AD173" s="353"/>
    </row>
    <row r="174" spans="1:30" s="53" customFormat="1" ht="12">
      <c r="A174" s="64" t="s">
        <v>343</v>
      </c>
      <c r="B174" s="64"/>
      <c r="D174" s="209"/>
      <c r="E174" s="217"/>
      <c r="F174" s="45"/>
      <c r="G174" s="57"/>
      <c r="AC174" s="263"/>
      <c r="AD174" s="338"/>
    </row>
    <row r="175" spans="1:30" s="53" customFormat="1" ht="12">
      <c r="A175" s="64"/>
      <c r="B175" s="64"/>
      <c r="D175" s="209"/>
      <c r="E175" s="217"/>
      <c r="F175" s="45"/>
      <c r="G175" s="57"/>
      <c r="AC175" s="263"/>
      <c r="AD175" s="338"/>
    </row>
    <row r="176" spans="1:30" s="53" customFormat="1" ht="12">
      <c r="A176" s="45"/>
      <c r="B176" s="45"/>
      <c r="C176" s="64" t="s">
        <v>94</v>
      </c>
      <c r="D176" s="209"/>
      <c r="E176" s="217"/>
      <c r="F176" s="45"/>
      <c r="G176" s="57"/>
      <c r="AC176" s="263"/>
      <c r="AD176" s="338"/>
    </row>
    <row r="177" spans="1:30" s="53" customFormat="1" ht="12">
      <c r="A177" s="45"/>
      <c r="B177" s="45"/>
      <c r="C177" s="55" t="s">
        <v>484</v>
      </c>
      <c r="D177" s="259">
        <v>0.5</v>
      </c>
      <c r="E177" s="217"/>
      <c r="F177" s="45"/>
      <c r="G177" s="57"/>
      <c r="AC177" s="263"/>
      <c r="AD177" s="338"/>
    </row>
    <row r="178" spans="1:30" s="53" customFormat="1" ht="12">
      <c r="A178" s="45"/>
      <c r="B178" s="45"/>
      <c r="C178" s="78"/>
      <c r="D178" s="209"/>
      <c r="E178" s="217"/>
      <c r="F178" s="45"/>
      <c r="G178" s="57"/>
      <c r="AC178" s="263"/>
      <c r="AD178" s="338"/>
    </row>
    <row r="179" spans="1:30" s="53" customFormat="1" ht="12">
      <c r="A179" s="44"/>
      <c r="B179" s="5" t="s">
        <v>351</v>
      </c>
      <c r="C179" s="78" t="s">
        <v>402</v>
      </c>
      <c r="D179" s="253"/>
      <c r="E179" s="217"/>
      <c r="F179" s="45">
        <f>F12</f>
        <v>0</v>
      </c>
      <c r="G179" s="45">
        <f t="shared" ref="G179:AC179" si="47">G12</f>
        <v>0</v>
      </c>
      <c r="H179" s="45">
        <f t="shared" si="47"/>
        <v>0</v>
      </c>
      <c r="I179" s="45">
        <f t="shared" si="47"/>
        <v>0</v>
      </c>
      <c r="J179" s="45">
        <f t="shared" si="47"/>
        <v>9931.4980551572316</v>
      </c>
      <c r="K179" s="45">
        <f t="shared" si="47"/>
        <v>13688.246758595385</v>
      </c>
      <c r="L179" s="45">
        <f t="shared" si="47"/>
        <v>14134.496110314467</v>
      </c>
      <c r="M179" s="45">
        <f t="shared" si="47"/>
        <v>446.24935171907777</v>
      </c>
      <c r="N179" s="45">
        <f t="shared" si="47"/>
        <v>14591.669599838695</v>
      </c>
      <c r="O179" s="45">
        <f t="shared" si="47"/>
        <v>14602.593737643851</v>
      </c>
      <c r="P179" s="45">
        <f t="shared" si="47"/>
        <v>14613.517875449003</v>
      </c>
      <c r="Q179" s="45">
        <f t="shared" si="47"/>
        <v>14624.442013254155</v>
      </c>
      <c r="R179" s="45">
        <f t="shared" si="47"/>
        <v>14635.366151059307</v>
      </c>
      <c r="S179" s="45">
        <f t="shared" si="47"/>
        <v>14646.29028886446</v>
      </c>
      <c r="T179" s="45">
        <f t="shared" si="47"/>
        <v>14657.214426669612</v>
      </c>
      <c r="U179" s="45">
        <f t="shared" si="47"/>
        <v>14668.138564474764</v>
      </c>
      <c r="V179" s="45">
        <f t="shared" si="47"/>
        <v>14679.06270227992</v>
      </c>
      <c r="W179" s="45">
        <f t="shared" si="47"/>
        <v>14689.986840085072</v>
      </c>
      <c r="X179" s="45">
        <f t="shared" si="47"/>
        <v>14811.058060252626</v>
      </c>
      <c r="Y179" s="45">
        <f t="shared" si="47"/>
        <v>14822.064534813311</v>
      </c>
      <c r="Z179" s="45">
        <f t="shared" si="47"/>
        <v>14833.071009374</v>
      </c>
      <c r="AA179" s="45">
        <f t="shared" si="47"/>
        <v>14844.077483934683</v>
      </c>
      <c r="AB179" s="45">
        <f t="shared" si="47"/>
        <v>14855.083958495368</v>
      </c>
      <c r="AC179" s="263">
        <f t="shared" si="47"/>
        <v>14866.090433056057</v>
      </c>
      <c r="AD179" s="338">
        <f t="shared" si="33"/>
        <v>273640.21795533103</v>
      </c>
    </row>
    <row r="180" spans="1:30" s="53" customFormat="1" ht="12">
      <c r="A180" s="44"/>
      <c r="B180" s="5"/>
      <c r="C180" s="299" t="s">
        <v>155</v>
      </c>
      <c r="D180" s="253"/>
      <c r="E180" s="217"/>
      <c r="F180" s="255">
        <f>$D$177*F69</f>
        <v>-2.7399869947017055</v>
      </c>
      <c r="G180" s="255">
        <f t="shared" ref="G180:AC180" si="48">$D$177*G69</f>
        <v>-2.7333973188679828</v>
      </c>
      <c r="H180" s="255">
        <f t="shared" si="48"/>
        <v>-2.7267623235960232</v>
      </c>
      <c r="I180" s="255">
        <f t="shared" si="48"/>
        <v>-2.7200815397568996</v>
      </c>
      <c r="J180" s="255">
        <f t="shared" si="48"/>
        <v>-2.7133544917242824</v>
      </c>
      <c r="K180" s="255">
        <f t="shared" si="48"/>
        <v>-2.7065806972615634</v>
      </c>
      <c r="L180" s="255">
        <f t="shared" si="48"/>
        <v>-2.699759667406616</v>
      </c>
      <c r="M180" s="255">
        <f t="shared" si="48"/>
        <v>-2.6928909063541395</v>
      </c>
      <c r="N180" s="255">
        <f t="shared" si="48"/>
        <v>-2.6859739113355241</v>
      </c>
      <c r="O180" s="255">
        <f t="shared" si="48"/>
        <v>-2.6790081724961747</v>
      </c>
      <c r="P180" s="255">
        <f t="shared" si="48"/>
        <v>-2.6719931727702315</v>
      </c>
      <c r="Q180" s="255">
        <f t="shared" si="48"/>
        <v>-2.6649283877526266</v>
      </c>
      <c r="R180" s="255">
        <f t="shared" si="48"/>
        <v>-2.6578132855684031</v>
      </c>
      <c r="S180" s="255">
        <f t="shared" si="48"/>
        <v>-2.6506473267392354</v>
      </c>
      <c r="T180" s="255">
        <f t="shared" si="48"/>
        <v>-2.643429964047074</v>
      </c>
      <c r="U180" s="255">
        <f t="shared" si="48"/>
        <v>-2.636160642394846</v>
      </c>
      <c r="V180" s="255">
        <f t="shared" si="48"/>
        <v>-2.6288387986641406</v>
      </c>
      <c r="W180" s="255">
        <f t="shared" si="48"/>
        <v>-2.6214638615697905</v>
      </c>
      <c r="X180" s="255">
        <f t="shared" si="48"/>
        <v>-2.6140352515112846</v>
      </c>
      <c r="Y180" s="255">
        <f t="shared" si="48"/>
        <v>-2.6065523804209234</v>
      </c>
      <c r="Z180" s="255">
        <f t="shared" si="48"/>
        <v>-2.599014651608635</v>
      </c>
      <c r="AA180" s="255">
        <f t="shared" si="48"/>
        <v>-2.591421459603362</v>
      </c>
      <c r="AB180" s="255">
        <f t="shared" si="48"/>
        <v>-2.5837721899909405</v>
      </c>
      <c r="AC180" s="268">
        <f t="shared" si="48"/>
        <v>-2.5760662192483688</v>
      </c>
      <c r="AD180" s="346">
        <f t="shared" si="33"/>
        <v>-63.843933615390767</v>
      </c>
    </row>
    <row r="181" spans="1:30" s="53" customFormat="1" ht="12">
      <c r="A181" s="44"/>
      <c r="B181" s="70"/>
      <c r="C181" s="78" t="s">
        <v>401</v>
      </c>
      <c r="D181" s="253"/>
      <c r="E181" s="217"/>
      <c r="F181" s="255">
        <f>F180*F179</f>
        <v>0</v>
      </c>
      <c r="G181" s="255">
        <f t="shared" ref="G181:AC181" si="49">G180*G179</f>
        <v>0</v>
      </c>
      <c r="H181" s="255">
        <f t="shared" si="49"/>
        <v>0</v>
      </c>
      <c r="I181" s="255">
        <f t="shared" si="49"/>
        <v>0</v>
      </c>
      <c r="J181" s="255">
        <f t="shared" si="49"/>
        <v>-26947.674857511851</v>
      </c>
      <c r="K181" s="255">
        <f t="shared" si="49"/>
        <v>-37048.344456167433</v>
      </c>
      <c r="L181" s="255">
        <f t="shared" si="49"/>
        <v>-38159.742517742692</v>
      </c>
      <c r="M181" s="255">
        <f t="shared" si="49"/>
        <v>-1201.7008212107346</v>
      </c>
      <c r="N181" s="255">
        <f t="shared" si="49"/>
        <v>-39192.843867994401</v>
      </c>
      <c r="O181" s="255">
        <f t="shared" si="49"/>
        <v>-39120.467962789335</v>
      </c>
      <c r="P181" s="255">
        <f t="shared" si="49"/>
        <v>-39047.219993355473</v>
      </c>
      <c r="Q181" s="255">
        <f t="shared" si="49"/>
        <v>-38973.09067616317</v>
      </c>
      <c r="R181" s="255">
        <f t="shared" si="49"/>
        <v>-38898.070595443533</v>
      </c>
      <c r="S181" s="255">
        <f t="shared" si="49"/>
        <v>-38822.150200825403</v>
      </c>
      <c r="T181" s="255">
        <f t="shared" si="49"/>
        <v>-38745.319804921506</v>
      </c>
      <c r="U181" s="255">
        <f t="shared" si="49"/>
        <v>-38667.569580862408</v>
      </c>
      <c r="V181" s="255">
        <f t="shared" si="49"/>
        <v>-38588.889559777141</v>
      </c>
      <c r="W181" s="255">
        <f t="shared" si="49"/>
        <v>-38509.269628218819</v>
      </c>
      <c r="X181" s="255">
        <f t="shared" si="49"/>
        <v>-38716.62788168071</v>
      </c>
      <c r="Y181" s="255">
        <f t="shared" si="49"/>
        <v>-38634.487595970182</v>
      </c>
      <c r="Z181" s="255">
        <f t="shared" si="49"/>
        <v>-38551.368881714312</v>
      </c>
      <c r="AA181" s="255">
        <f t="shared" si="49"/>
        <v>-38467.260939883417</v>
      </c>
      <c r="AB181" s="255">
        <f t="shared" si="49"/>
        <v>-38382.152811940869</v>
      </c>
      <c r="AC181" s="268">
        <f t="shared" si="49"/>
        <v>-38296.033376887062</v>
      </c>
      <c r="AD181" s="346">
        <f t="shared" si="33"/>
        <v>-722970.28601106058</v>
      </c>
    </row>
    <row r="182" spans="1:30" s="53" customFormat="1" ht="12">
      <c r="A182" s="44"/>
      <c r="B182" s="70"/>
      <c r="C182" s="78" t="s">
        <v>475</v>
      </c>
      <c r="D182" s="253">
        <f>$D$177*(D77)</f>
        <v>3.0165463640823211</v>
      </c>
      <c r="E182" s="217"/>
      <c r="F182" s="255">
        <f>$D182*F179</f>
        <v>0</v>
      </c>
      <c r="G182" s="255">
        <f t="shared" ref="G182:AC182" si="50">$D182*G179</f>
        <v>0</v>
      </c>
      <c r="H182" s="255">
        <f t="shared" si="50"/>
        <v>0</v>
      </c>
      <c r="I182" s="255">
        <f t="shared" si="50"/>
        <v>0</v>
      </c>
      <c r="J182" s="255">
        <f t="shared" si="50"/>
        <v>29958.824348175192</v>
      </c>
      <c r="K182" s="255">
        <f t="shared" si="50"/>
        <v>41291.230990302531</v>
      </c>
      <c r="L182" s="255">
        <f t="shared" si="50"/>
        <v>42637.362849704819</v>
      </c>
      <c r="M182" s="255">
        <f t="shared" si="50"/>
        <v>1346.1318594022769</v>
      </c>
      <c r="N182" s="255">
        <f t="shared" si="50"/>
        <v>44016.44787728395</v>
      </c>
      <c r="O182" s="255">
        <f t="shared" si="50"/>
        <v>44049.401045460829</v>
      </c>
      <c r="P182" s="255">
        <f t="shared" si="50"/>
        <v>44082.354213637693</v>
      </c>
      <c r="Q182" s="255">
        <f t="shared" si="50"/>
        <v>44115.307381814557</v>
      </c>
      <c r="R182" s="255">
        <f t="shared" si="50"/>
        <v>44148.260549991428</v>
      </c>
      <c r="S182" s="255">
        <f t="shared" si="50"/>
        <v>44181.213718168299</v>
      </c>
      <c r="T182" s="255">
        <f t="shared" si="50"/>
        <v>44214.166886345163</v>
      </c>
      <c r="U182" s="255">
        <f t="shared" si="50"/>
        <v>44247.120054522027</v>
      </c>
      <c r="V182" s="255">
        <f t="shared" si="50"/>
        <v>44280.073222698906</v>
      </c>
      <c r="W182" s="255">
        <f t="shared" si="50"/>
        <v>44313.02639087577</v>
      </c>
      <c r="X182" s="255">
        <f t="shared" si="50"/>
        <v>44678.243339867215</v>
      </c>
      <c r="Y182" s="255">
        <f t="shared" si="50"/>
        <v>44711.444880684612</v>
      </c>
      <c r="Z182" s="255">
        <f t="shared" si="50"/>
        <v>44744.646421502024</v>
      </c>
      <c r="AA182" s="255">
        <f t="shared" si="50"/>
        <v>44777.847962319422</v>
      </c>
      <c r="AB182" s="255">
        <f t="shared" si="50"/>
        <v>44811.049503136819</v>
      </c>
      <c r="AC182" s="268">
        <f t="shared" si="50"/>
        <v>44844.251043954231</v>
      </c>
      <c r="AD182" s="346">
        <f t="shared" si="33"/>
        <v>825448.40453984786</v>
      </c>
    </row>
    <row r="183" spans="1:30" s="53" customFormat="1" ht="12">
      <c r="A183" s="45"/>
      <c r="B183" s="45"/>
      <c r="C183" s="78"/>
      <c r="D183" s="253"/>
      <c r="E183" s="217"/>
      <c r="F183" s="255"/>
      <c r="G183" s="255"/>
      <c r="H183" s="255"/>
      <c r="I183" s="255"/>
      <c r="J183" s="255"/>
      <c r="K183" s="255"/>
      <c r="L183" s="255"/>
      <c r="M183" s="255"/>
      <c r="N183" s="255"/>
      <c r="O183" s="255"/>
      <c r="P183" s="255"/>
      <c r="Q183" s="255"/>
      <c r="R183" s="255"/>
      <c r="S183" s="255"/>
      <c r="T183" s="255"/>
      <c r="U183" s="255"/>
      <c r="V183" s="255"/>
      <c r="W183" s="255"/>
      <c r="X183" s="255"/>
      <c r="Y183" s="255"/>
      <c r="Z183" s="255"/>
      <c r="AA183" s="255"/>
      <c r="AB183" s="255"/>
      <c r="AC183" s="268"/>
      <c r="AD183" s="346"/>
    </row>
    <row r="184" spans="1:30" s="53" customFormat="1" ht="12">
      <c r="A184" s="45"/>
      <c r="B184" s="5" t="s">
        <v>261</v>
      </c>
      <c r="C184" s="78"/>
      <c r="D184" s="253"/>
      <c r="E184" s="217"/>
      <c r="F184" s="255"/>
      <c r="G184" s="255"/>
      <c r="H184" s="255"/>
      <c r="I184" s="255"/>
      <c r="J184" s="255"/>
      <c r="K184" s="255"/>
      <c r="L184" s="255"/>
      <c r="M184" s="255"/>
      <c r="N184" s="255"/>
      <c r="O184" s="255"/>
      <c r="P184" s="255"/>
      <c r="Q184" s="255"/>
      <c r="R184" s="255"/>
      <c r="S184" s="255"/>
      <c r="T184" s="255"/>
      <c r="U184" s="255"/>
      <c r="V184" s="255"/>
      <c r="W184" s="255"/>
      <c r="X184" s="255"/>
      <c r="Y184" s="255"/>
      <c r="Z184" s="255"/>
      <c r="AA184" s="255"/>
      <c r="AB184" s="255"/>
      <c r="AC184" s="268"/>
      <c r="AD184" s="346"/>
    </row>
    <row r="185" spans="1:30" s="53" customFormat="1" ht="12">
      <c r="A185" s="44"/>
      <c r="B185" s="5"/>
      <c r="C185" s="78" t="s">
        <v>411</v>
      </c>
      <c r="D185" s="253"/>
      <c r="E185" s="217"/>
      <c r="F185" s="45">
        <f>F17</f>
        <v>0</v>
      </c>
      <c r="G185" s="45">
        <f t="shared" ref="G185:AC185" si="51">G17</f>
        <v>0</v>
      </c>
      <c r="H185" s="45">
        <f t="shared" si="51"/>
        <v>0</v>
      </c>
      <c r="I185" s="45">
        <f t="shared" si="51"/>
        <v>0</v>
      </c>
      <c r="J185" s="45">
        <f t="shared" si="51"/>
        <v>193.28484159972675</v>
      </c>
      <c r="K185" s="45">
        <f t="shared" si="51"/>
        <v>266.39793833914172</v>
      </c>
      <c r="L185" s="45">
        <f t="shared" si="51"/>
        <v>275.08275454531451</v>
      </c>
      <c r="M185" s="45">
        <f t="shared" si="51"/>
        <v>8.6848162061727532</v>
      </c>
      <c r="N185" s="45">
        <f t="shared" si="51"/>
        <v>283.98017415064777</v>
      </c>
      <c r="O185" s="45">
        <f t="shared" si="51"/>
        <v>284.19277754980834</v>
      </c>
      <c r="P185" s="45">
        <f t="shared" si="51"/>
        <v>284.40538094896885</v>
      </c>
      <c r="Q185" s="45">
        <f t="shared" si="51"/>
        <v>284.61798434812926</v>
      </c>
      <c r="R185" s="45">
        <f t="shared" si="51"/>
        <v>284.83058774728988</v>
      </c>
      <c r="S185" s="45">
        <f t="shared" si="51"/>
        <v>285.04319114645045</v>
      </c>
      <c r="T185" s="45">
        <f t="shared" si="51"/>
        <v>285.25579454561091</v>
      </c>
      <c r="U185" s="45">
        <f t="shared" si="51"/>
        <v>285.46839794477143</v>
      </c>
      <c r="V185" s="45">
        <f t="shared" si="51"/>
        <v>285.681001343932</v>
      </c>
      <c r="W185" s="45">
        <f t="shared" si="51"/>
        <v>285.89360474309245</v>
      </c>
      <c r="X185" s="45">
        <f t="shared" si="51"/>
        <v>288.24986877117834</v>
      </c>
      <c r="Y185" s="45">
        <f t="shared" si="51"/>
        <v>288.4640745919134</v>
      </c>
      <c r="Z185" s="45">
        <f t="shared" si="51"/>
        <v>288.67828041264846</v>
      </c>
      <c r="AA185" s="45">
        <f t="shared" si="51"/>
        <v>288.89248623338352</v>
      </c>
      <c r="AB185" s="45">
        <f t="shared" si="51"/>
        <v>289.10669205411858</v>
      </c>
      <c r="AC185" s="263">
        <f t="shared" si="51"/>
        <v>289.32089787485364</v>
      </c>
      <c r="AD185" s="338">
        <f t="shared" si="33"/>
        <v>5325.5315450971539</v>
      </c>
    </row>
    <row r="186" spans="1:30" s="53" customFormat="1" ht="12">
      <c r="A186" s="44"/>
      <c r="B186" s="5"/>
      <c r="C186" s="78" t="s">
        <v>427</v>
      </c>
      <c r="D186" s="253"/>
      <c r="E186" s="217"/>
      <c r="F186" s="255">
        <f>F96*$D$177</f>
        <v>-1.0579557447017054</v>
      </c>
      <c r="G186" s="255">
        <f t="shared" ref="G186:AC186" si="52">G96*$D$177</f>
        <v>-1.0513660688679827</v>
      </c>
      <c r="H186" s="255">
        <f t="shared" si="52"/>
        <v>-1.0447310735960231</v>
      </c>
      <c r="I186" s="255">
        <f t="shared" si="52"/>
        <v>-1.0380502897568995</v>
      </c>
      <c r="J186" s="255">
        <f t="shared" si="52"/>
        <v>-1.0313232417242824</v>
      </c>
      <c r="K186" s="255">
        <f t="shared" si="52"/>
        <v>-1.0245494472615633</v>
      </c>
      <c r="L186" s="255">
        <f t="shared" si="52"/>
        <v>-1.0177284174066159</v>
      </c>
      <c r="M186" s="255">
        <f t="shared" si="52"/>
        <v>-1.0108596563541394</v>
      </c>
      <c r="N186" s="255">
        <f t="shared" si="52"/>
        <v>-1.003942661335524</v>
      </c>
      <c r="O186" s="255">
        <f t="shared" si="52"/>
        <v>-0.99697692249617464</v>
      </c>
      <c r="P186" s="255">
        <f t="shared" si="52"/>
        <v>-0.98996192277023143</v>
      </c>
      <c r="Q186" s="255">
        <f t="shared" si="52"/>
        <v>-0.98289713775262655</v>
      </c>
      <c r="R186" s="255">
        <f t="shared" si="52"/>
        <v>-0.97578203556840304</v>
      </c>
      <c r="S186" s="255">
        <f t="shared" si="52"/>
        <v>-0.96861607673923533</v>
      </c>
      <c r="T186" s="255">
        <f t="shared" si="52"/>
        <v>-0.96139871404707389</v>
      </c>
      <c r="U186" s="255">
        <f t="shared" si="52"/>
        <v>-0.95412939239484595</v>
      </c>
      <c r="V186" s="255">
        <f t="shared" si="52"/>
        <v>-0.94680754866414052</v>
      </c>
      <c r="W186" s="255">
        <f t="shared" si="52"/>
        <v>-0.93943261156979041</v>
      </c>
      <c r="X186" s="255">
        <f t="shared" si="52"/>
        <v>-0.93200400151128449</v>
      </c>
      <c r="Y186" s="255">
        <f t="shared" si="52"/>
        <v>-0.92452113042092332</v>
      </c>
      <c r="Z186" s="255">
        <f t="shared" si="52"/>
        <v>-0.9169834016086349</v>
      </c>
      <c r="AA186" s="255">
        <f t="shared" si="52"/>
        <v>-0.90939020960336192</v>
      </c>
      <c r="AB186" s="255">
        <f t="shared" si="52"/>
        <v>-0.9017409399909404</v>
      </c>
      <c r="AC186" s="268">
        <f t="shared" si="52"/>
        <v>-0.89403496924836867</v>
      </c>
      <c r="AD186" s="346">
        <f t="shared" si="33"/>
        <v>-23.475183615390776</v>
      </c>
    </row>
    <row r="187" spans="1:30" s="53" customFormat="1" ht="12">
      <c r="A187" s="44"/>
      <c r="B187" s="5"/>
      <c r="C187" s="299" t="s">
        <v>155</v>
      </c>
      <c r="D187" s="253"/>
      <c r="E187" s="217"/>
      <c r="F187" s="255">
        <f>F186*F185</f>
        <v>0</v>
      </c>
      <c r="G187" s="255">
        <f t="shared" ref="G187:AC187" si="53">G186*G185</f>
        <v>0</v>
      </c>
      <c r="H187" s="255">
        <f t="shared" si="53"/>
        <v>0</v>
      </c>
      <c r="I187" s="255">
        <f t="shared" si="53"/>
        <v>0</v>
      </c>
      <c r="J187" s="255">
        <f t="shared" si="53"/>
        <v>-199.3391494147946</v>
      </c>
      <c r="K187" s="255">
        <f t="shared" si="53"/>
        <v>-272.93786047698768</v>
      </c>
      <c r="L187" s="255">
        <f t="shared" si="53"/>
        <v>-279.95953643925554</v>
      </c>
      <c r="M187" s="255">
        <f t="shared" si="53"/>
        <v>-8.7791303256706499</v>
      </c>
      <c r="N187" s="255">
        <f t="shared" si="53"/>
        <v>-285.09981180332693</v>
      </c>
      <c r="O187" s="255">
        <f t="shared" si="53"/>
        <v>-283.33364075724785</v>
      </c>
      <c r="P187" s="255">
        <f t="shared" si="53"/>
        <v>-281.55049777044138</v>
      </c>
      <c r="Q187" s="255">
        <f t="shared" si="53"/>
        <v>-279.75020216869808</v>
      </c>
      <c r="R187" s="255">
        <f t="shared" si="53"/>
        <v>-277.93257070419514</v>
      </c>
      <c r="S187" s="255">
        <f t="shared" si="53"/>
        <v>-276.09741750950678</v>
      </c>
      <c r="T187" s="255">
        <f t="shared" si="53"/>
        <v>-274.24455405062662</v>
      </c>
      <c r="U187" s="255">
        <f t="shared" si="53"/>
        <v>-272.37378907897482</v>
      </c>
      <c r="V187" s="255">
        <f t="shared" si="53"/>
        <v>-270.48492858236528</v>
      </c>
      <c r="W187" s="255">
        <f t="shared" si="53"/>
        <v>-268.57777573490478</v>
      </c>
      <c r="X187" s="255">
        <f t="shared" si="53"/>
        <v>-268.65003112984084</v>
      </c>
      <c r="Y187" s="255">
        <f t="shared" si="53"/>
        <v>-266.69113232754131</v>
      </c>
      <c r="Z187" s="255">
        <f t="shared" si="53"/>
        <v>-264.71319154332173</v>
      </c>
      <c r="AA187" s="255">
        <f t="shared" si="53"/>
        <v>-262.71599860861301</v>
      </c>
      <c r="AB187" s="255">
        <f t="shared" si="53"/>
        <v>-260.69934025055221</v>
      </c>
      <c r="AC187" s="268">
        <f t="shared" si="53"/>
        <v>-258.66300003445519</v>
      </c>
      <c r="AD187" s="346">
        <f t="shared" si="33"/>
        <v>-5112.593558711319</v>
      </c>
    </row>
    <row r="188" spans="1:30" s="53" customFormat="1" ht="12">
      <c r="A188" s="44"/>
      <c r="B188" s="5"/>
      <c r="C188" s="78" t="s">
        <v>428</v>
      </c>
      <c r="D188" s="253">
        <f>D104</f>
        <v>5.9830927281646424</v>
      </c>
      <c r="E188" s="217"/>
      <c r="F188" s="255">
        <f>$D188*F185</f>
        <v>0</v>
      </c>
      <c r="G188" s="255">
        <f t="shared" ref="G188:AC188" si="54">$D188*G185</f>
        <v>0</v>
      </c>
      <c r="H188" s="255">
        <f t="shared" si="54"/>
        <v>0</v>
      </c>
      <c r="I188" s="255">
        <f t="shared" si="54"/>
        <v>0</v>
      </c>
      <c r="J188" s="255">
        <f t="shared" si="54"/>
        <v>1156.4411302397798</v>
      </c>
      <c r="K188" s="255">
        <f t="shared" si="54"/>
        <v>1593.8835676749716</v>
      </c>
      <c r="L188" s="255">
        <f t="shared" si="54"/>
        <v>1645.8456283635705</v>
      </c>
      <c r="M188" s="255">
        <f t="shared" si="54"/>
        <v>51.96206068859864</v>
      </c>
      <c r="N188" s="255">
        <f t="shared" si="54"/>
        <v>1699.0797149036694</v>
      </c>
      <c r="O188" s="255">
        <f t="shared" si="54"/>
        <v>1700.3517407551701</v>
      </c>
      <c r="P188" s="255">
        <f t="shared" si="54"/>
        <v>1701.6237666066704</v>
      </c>
      <c r="Q188" s="255">
        <f t="shared" si="54"/>
        <v>1702.8957924581703</v>
      </c>
      <c r="R188" s="255">
        <f t="shared" si="54"/>
        <v>1704.1678183096712</v>
      </c>
      <c r="S188" s="255">
        <f t="shared" si="54"/>
        <v>1705.439844161172</v>
      </c>
      <c r="T188" s="255">
        <f t="shared" si="54"/>
        <v>1706.7118700126719</v>
      </c>
      <c r="U188" s="255">
        <f t="shared" si="54"/>
        <v>1707.9838958641724</v>
      </c>
      <c r="V188" s="255">
        <f t="shared" si="54"/>
        <v>1709.2559217156729</v>
      </c>
      <c r="W188" s="255">
        <f t="shared" si="54"/>
        <v>1710.527947567173</v>
      </c>
      <c r="X188" s="255">
        <f t="shared" si="54"/>
        <v>1724.6256937392495</v>
      </c>
      <c r="Y188" s="255">
        <f t="shared" si="54"/>
        <v>1725.9073070276202</v>
      </c>
      <c r="Z188" s="255">
        <f t="shared" si="54"/>
        <v>1727.1889203159906</v>
      </c>
      <c r="AA188" s="255">
        <f t="shared" si="54"/>
        <v>1728.470533604361</v>
      </c>
      <c r="AB188" s="255">
        <f t="shared" si="54"/>
        <v>1729.7521468927316</v>
      </c>
      <c r="AC188" s="268">
        <f t="shared" si="54"/>
        <v>1731.033760181102</v>
      </c>
      <c r="AD188" s="346">
        <f t="shared" si="33"/>
        <v>31863.149061082197</v>
      </c>
    </row>
    <row r="189" spans="1:30" s="53" customFormat="1" ht="12">
      <c r="A189" s="45"/>
      <c r="B189" s="5" t="s">
        <v>397</v>
      </c>
      <c r="C189" s="64"/>
      <c r="D189" s="253"/>
      <c r="E189" s="217"/>
      <c r="F189" s="255"/>
      <c r="G189" s="255"/>
      <c r="H189" s="255"/>
      <c r="I189" s="255"/>
      <c r="J189" s="255"/>
      <c r="K189" s="255"/>
      <c r="L189" s="255"/>
      <c r="M189" s="255"/>
      <c r="N189" s="255"/>
      <c r="O189" s="255"/>
      <c r="P189" s="255"/>
      <c r="Q189" s="255"/>
      <c r="R189" s="255"/>
      <c r="S189" s="255"/>
      <c r="T189" s="255"/>
      <c r="U189" s="255"/>
      <c r="V189" s="255"/>
      <c r="W189" s="255"/>
      <c r="X189" s="255"/>
      <c r="Y189" s="255"/>
      <c r="Z189" s="255"/>
      <c r="AA189" s="255"/>
      <c r="AB189" s="255"/>
      <c r="AC189" s="268"/>
      <c r="AD189" s="346"/>
    </row>
    <row r="190" spans="1:30" s="53" customFormat="1" ht="12">
      <c r="A190" s="44"/>
      <c r="B190" s="70" t="s">
        <v>447</v>
      </c>
      <c r="C190" s="47" t="s">
        <v>152</v>
      </c>
      <c r="D190" s="253"/>
      <c r="E190" s="217"/>
      <c r="F190" s="45">
        <f>F24</f>
        <v>0</v>
      </c>
      <c r="G190" s="45">
        <f t="shared" ref="G190:AC190" si="55">G24</f>
        <v>0</v>
      </c>
      <c r="H190" s="45">
        <f t="shared" si="55"/>
        <v>0</v>
      </c>
      <c r="I190" s="45">
        <f t="shared" si="55"/>
        <v>0</v>
      </c>
      <c r="J190" s="45">
        <f t="shared" si="55"/>
        <v>10125</v>
      </c>
      <c r="K190" s="45">
        <f t="shared" si="55"/>
        <v>13824.375</v>
      </c>
      <c r="L190" s="45">
        <f t="shared" si="55"/>
        <v>13962.61875</v>
      </c>
      <c r="M190" s="45">
        <f t="shared" si="55"/>
        <v>14102.244937500001</v>
      </c>
      <c r="N190" s="45">
        <f t="shared" si="55"/>
        <v>14243.267386874999</v>
      </c>
      <c r="O190" s="45">
        <f t="shared" si="55"/>
        <v>14385.700060743749</v>
      </c>
      <c r="P190" s="45">
        <f t="shared" si="55"/>
        <v>14529.55706135119</v>
      </c>
      <c r="Q190" s="45">
        <f t="shared" si="55"/>
        <v>14674.852631964701</v>
      </c>
      <c r="R190" s="45">
        <f t="shared" si="55"/>
        <v>14821.601158284346</v>
      </c>
      <c r="S190" s="45">
        <f t="shared" si="55"/>
        <v>14969.81716986719</v>
      </c>
      <c r="T190" s="45">
        <f t="shared" si="55"/>
        <v>15119.515341565862</v>
      </c>
      <c r="U190" s="45">
        <f t="shared" si="55"/>
        <v>15270.71049498152</v>
      </c>
      <c r="V190" s="45">
        <f t="shared" si="55"/>
        <v>15423.417599931337</v>
      </c>
      <c r="W190" s="45">
        <f t="shared" si="55"/>
        <v>15577.651775930648</v>
      </c>
      <c r="X190" s="45">
        <f t="shared" si="55"/>
        <v>15733.428293689956</v>
      </c>
      <c r="Y190" s="45">
        <f t="shared" si="55"/>
        <v>15890.762576626857</v>
      </c>
      <c r="Z190" s="45">
        <f t="shared" si="55"/>
        <v>16049.670202393125</v>
      </c>
      <c r="AA190" s="45">
        <f t="shared" si="55"/>
        <v>16210.166904417056</v>
      </c>
      <c r="AB190" s="45">
        <f t="shared" si="55"/>
        <v>16372.268573461224</v>
      </c>
      <c r="AC190" s="263">
        <f t="shared" si="55"/>
        <v>16535.991259195838</v>
      </c>
      <c r="AD190" s="338">
        <f t="shared" si="33"/>
        <v>297822.61717877962</v>
      </c>
    </row>
    <row r="191" spans="1:30" s="53" customFormat="1" ht="12">
      <c r="A191" s="44"/>
      <c r="B191" s="70"/>
      <c r="C191" s="299" t="s">
        <v>155</v>
      </c>
      <c r="D191" s="253"/>
      <c r="E191" s="217"/>
      <c r="F191" s="255">
        <f>F123*$D$177</f>
        <v>-0.41446393445013729</v>
      </c>
      <c r="G191" s="255">
        <f t="shared" ref="G191:AC191" si="56">G123*$D$177</f>
        <v>-0.41264923910515838</v>
      </c>
      <c r="H191" s="255">
        <f t="shared" si="56"/>
        <v>-0.4108220634841111</v>
      </c>
      <c r="I191" s="255">
        <f t="shared" si="56"/>
        <v>-0.40898227839610635</v>
      </c>
      <c r="J191" s="255">
        <f t="shared" si="56"/>
        <v>-0.40712975286097031</v>
      </c>
      <c r="K191" s="255">
        <f t="shared" si="56"/>
        <v>-0.40526435407815975</v>
      </c>
      <c r="L191" s="255">
        <f t="shared" si="56"/>
        <v>-0.40338594739502831</v>
      </c>
      <c r="M191" s="255">
        <f t="shared" si="56"/>
        <v>-0.40149439627442307</v>
      </c>
      <c r="N191" s="255">
        <f t="shared" si="56"/>
        <v>-0.39958956226160458</v>
      </c>
      <c r="O191" s="255">
        <f t="shared" si="56"/>
        <v>-0.39767130495046055</v>
      </c>
      <c r="P191" s="255">
        <f t="shared" si="56"/>
        <v>-0.39573948194900854</v>
      </c>
      <c r="Q191" s="255">
        <f t="shared" si="56"/>
        <v>-0.39379394884416019</v>
      </c>
      <c r="R191" s="255">
        <f t="shared" si="56"/>
        <v>-0.39183455916573573</v>
      </c>
      <c r="S191" s="255">
        <f t="shared" si="56"/>
        <v>-0.38986116434970342</v>
      </c>
      <c r="T191" s="255">
        <f t="shared" si="56"/>
        <v>-0.38787361370063111</v>
      </c>
      <c r="U191" s="255">
        <f t="shared" si="56"/>
        <v>-0.38587175435332544</v>
      </c>
      <c r="V191" s="255">
        <f t="shared" si="56"/>
        <v>-0.38385543123363863</v>
      </c>
      <c r="W191" s="255">
        <f t="shared" si="56"/>
        <v>-0.38182448701842553</v>
      </c>
      <c r="X191" s="255">
        <f t="shared" si="56"/>
        <v>-0.37977876209462158</v>
      </c>
      <c r="Y191" s="255">
        <f t="shared" si="56"/>
        <v>-0.37771809451742988</v>
      </c>
      <c r="Z191" s="255">
        <f t="shared" si="56"/>
        <v>-0.37564231996758424</v>
      </c>
      <c r="AA191" s="255">
        <f t="shared" si="56"/>
        <v>-0.37355127170767077</v>
      </c>
      <c r="AB191" s="255">
        <f t="shared" si="56"/>
        <v>-0.37144478053748076</v>
      </c>
      <c r="AC191" s="268">
        <f t="shared" si="56"/>
        <v>-0.36932267474837244</v>
      </c>
      <c r="AD191" s="346">
        <f t="shared" si="33"/>
        <v>-9.4195651774439479</v>
      </c>
    </row>
    <row r="192" spans="1:30" s="53" customFormat="1" ht="12">
      <c r="A192" s="44"/>
      <c r="B192" s="70"/>
      <c r="C192" s="78" t="s">
        <v>429</v>
      </c>
      <c r="D192" s="253"/>
      <c r="E192" s="217"/>
      <c r="F192" s="255">
        <f>F191*F190</f>
        <v>0</v>
      </c>
      <c r="G192" s="255">
        <f t="shared" ref="G192:AC192" si="57">G191*G190</f>
        <v>0</v>
      </c>
      <c r="H192" s="255">
        <f t="shared" si="57"/>
        <v>0</v>
      </c>
      <c r="I192" s="255">
        <f t="shared" si="57"/>
        <v>0</v>
      </c>
      <c r="J192" s="255">
        <f t="shared" si="57"/>
        <v>-4122.1887477173241</v>
      </c>
      <c r="K192" s="255">
        <f t="shared" si="57"/>
        <v>-5602.5264049092593</v>
      </c>
      <c r="L192" s="255">
        <f t="shared" si="57"/>
        <v>-5632.3241925843358</v>
      </c>
      <c r="M192" s="255">
        <f t="shared" si="57"/>
        <v>-5661.9723172956019</v>
      </c>
      <c r="N192" s="255">
        <f t="shared" si="57"/>
        <v>-5691.4609802963696</v>
      </c>
      <c r="O192" s="255">
        <f t="shared" si="57"/>
        <v>-5720.7801157818867</v>
      </c>
      <c r="P192" s="255">
        <f t="shared" si="57"/>
        <v>-5749.919384407679</v>
      </c>
      <c r="Q192" s="255">
        <f t="shared" si="57"/>
        <v>-5778.8681666474968</v>
      </c>
      <c r="R192" s="255">
        <f t="shared" si="57"/>
        <v>-5807.6155559867047</v>
      </c>
      <c r="S192" s="255">
        <f t="shared" si="57"/>
        <v>-5836.150351946605</v>
      </c>
      <c r="T192" s="255">
        <f t="shared" si="57"/>
        <v>-5864.4610529352831</v>
      </c>
      <c r="U192" s="255">
        <f t="shared" si="57"/>
        <v>-5892.5358489202581</v>
      </c>
      <c r="V192" s="255">
        <f t="shared" si="57"/>
        <v>-5920.3626139181351</v>
      </c>
      <c r="W192" s="255">
        <f t="shared" si="57"/>
        <v>-5947.9288982963853</v>
      </c>
      <c r="X192" s="255">
        <f t="shared" si="57"/>
        <v>-5975.2219208820661</v>
      </c>
      <c r="Y192" s="255">
        <f t="shared" si="57"/>
        <v>-6002.2285608723805</v>
      </c>
      <c r="Z192" s="255">
        <f t="shared" si="57"/>
        <v>-6028.9353495415608</v>
      </c>
      <c r="AA192" s="255">
        <f t="shared" si="57"/>
        <v>-6055.328461738588</v>
      </c>
      <c r="AB192" s="255">
        <f t="shared" si="57"/>
        <v>-6081.3937071699975</v>
      </c>
      <c r="AC192" s="268">
        <f t="shared" si="57"/>
        <v>-6107.1165214619141</v>
      </c>
      <c r="AD192" s="346">
        <f t="shared" si="33"/>
        <v>-115479.31915330981</v>
      </c>
    </row>
    <row r="193" spans="1:30" s="53" customFormat="1" ht="12">
      <c r="A193" s="44"/>
      <c r="B193" s="70"/>
      <c r="C193" s="78" t="s">
        <v>471</v>
      </c>
      <c r="D193" s="253">
        <f>D140</f>
        <v>7.9934109589041098</v>
      </c>
      <c r="E193" s="217"/>
      <c r="F193" s="255">
        <f t="shared" ref="F193" si="58">$D193*F195</f>
        <v>0</v>
      </c>
      <c r="G193" s="255">
        <f t="shared" ref="G193:AC193" si="59">$D193*G195</f>
        <v>0</v>
      </c>
      <c r="H193" s="255">
        <f t="shared" si="59"/>
        <v>0</v>
      </c>
      <c r="I193" s="255">
        <f t="shared" si="59"/>
        <v>0</v>
      </c>
      <c r="J193" s="255">
        <f t="shared" si="59"/>
        <v>134888.80993150684</v>
      </c>
      <c r="K193" s="255">
        <f t="shared" si="59"/>
        <v>184173.18437500001</v>
      </c>
      <c r="L193" s="255">
        <f t="shared" si="59"/>
        <v>186014.91621875</v>
      </c>
      <c r="M193" s="255">
        <f t="shared" si="59"/>
        <v>187875.06538093754</v>
      </c>
      <c r="N193" s="255">
        <f t="shared" si="59"/>
        <v>189753.81603474688</v>
      </c>
      <c r="O193" s="255">
        <f t="shared" si="59"/>
        <v>191651.35419509435</v>
      </c>
      <c r="P193" s="255">
        <f t="shared" si="59"/>
        <v>193567.86773704531</v>
      </c>
      <c r="Q193" s="255">
        <f t="shared" si="59"/>
        <v>195503.54641441579</v>
      </c>
      <c r="R193" s="255">
        <f t="shared" si="59"/>
        <v>197458.58187855993</v>
      </c>
      <c r="S193" s="255">
        <f t="shared" si="59"/>
        <v>199433.16769734552</v>
      </c>
      <c r="T193" s="255">
        <f t="shared" si="59"/>
        <v>201427.49937431898</v>
      </c>
      <c r="U193" s="255">
        <f t="shared" si="59"/>
        <v>203441.77436806215</v>
      </c>
      <c r="V193" s="255">
        <f t="shared" si="59"/>
        <v>205476.1921117428</v>
      </c>
      <c r="W193" s="255">
        <f t="shared" si="59"/>
        <v>207530.9540328602</v>
      </c>
      <c r="X193" s="255">
        <f t="shared" si="59"/>
        <v>209606.2635731888</v>
      </c>
      <c r="Y193" s="255">
        <f t="shared" si="59"/>
        <v>211702.32620892071</v>
      </c>
      <c r="Z193" s="255">
        <f t="shared" si="59"/>
        <v>213819.34947100992</v>
      </c>
      <c r="AA193" s="255">
        <f t="shared" si="59"/>
        <v>215957.54296572</v>
      </c>
      <c r="AB193" s="255">
        <f t="shared" si="59"/>
        <v>218117.11839537718</v>
      </c>
      <c r="AC193" s="268">
        <f t="shared" si="59"/>
        <v>220298.289579331</v>
      </c>
      <c r="AD193" s="346">
        <f t="shared" si="33"/>
        <v>3967697.6199439336</v>
      </c>
    </row>
    <row r="194" spans="1:30" s="53" customFormat="1" ht="12">
      <c r="A194" s="44"/>
      <c r="B194" s="70"/>
      <c r="C194" s="47"/>
      <c r="D194" s="253"/>
      <c r="E194" s="217"/>
      <c r="F194" s="255"/>
      <c r="G194" s="255"/>
      <c r="H194" s="255"/>
      <c r="I194" s="255"/>
      <c r="J194" s="255"/>
      <c r="K194" s="255"/>
      <c r="L194" s="255"/>
      <c r="M194" s="255"/>
      <c r="N194" s="255"/>
      <c r="O194" s="255"/>
      <c r="P194" s="255"/>
      <c r="Q194" s="255"/>
      <c r="R194" s="255"/>
      <c r="S194" s="255"/>
      <c r="T194" s="255"/>
      <c r="U194" s="255"/>
      <c r="V194" s="255"/>
      <c r="W194" s="255"/>
      <c r="X194" s="255"/>
      <c r="Y194" s="255"/>
      <c r="Z194" s="255"/>
      <c r="AA194" s="255"/>
      <c r="AB194" s="255"/>
      <c r="AC194" s="268"/>
      <c r="AD194" s="346"/>
    </row>
    <row r="195" spans="1:30" s="53" customFormat="1" ht="12">
      <c r="A195" s="44"/>
      <c r="B195" s="70" t="s">
        <v>446</v>
      </c>
      <c r="C195" s="78" t="s">
        <v>457</v>
      </c>
      <c r="D195" s="253"/>
      <c r="E195" s="217"/>
      <c r="F195" s="45">
        <f>F26</f>
        <v>0</v>
      </c>
      <c r="G195" s="45">
        <f t="shared" ref="G195:AC195" si="60">G26</f>
        <v>0</v>
      </c>
      <c r="H195" s="45">
        <f t="shared" si="60"/>
        <v>0</v>
      </c>
      <c r="I195" s="45">
        <f t="shared" si="60"/>
        <v>0</v>
      </c>
      <c r="J195" s="45">
        <f t="shared" si="60"/>
        <v>16875</v>
      </c>
      <c r="K195" s="45">
        <f t="shared" si="60"/>
        <v>23040.625</v>
      </c>
      <c r="L195" s="45">
        <f t="shared" si="60"/>
        <v>23271.03125</v>
      </c>
      <c r="M195" s="45">
        <f t="shared" si="60"/>
        <v>23503.741562500003</v>
      </c>
      <c r="N195" s="45">
        <f t="shared" si="60"/>
        <v>23738.778978124999</v>
      </c>
      <c r="O195" s="45">
        <f t="shared" si="60"/>
        <v>23976.166767906248</v>
      </c>
      <c r="P195" s="45">
        <f t="shared" si="60"/>
        <v>24215.928435585316</v>
      </c>
      <c r="Q195" s="45">
        <f t="shared" si="60"/>
        <v>24458.08771994117</v>
      </c>
      <c r="R195" s="45">
        <f t="shared" si="60"/>
        <v>24702.668597140579</v>
      </c>
      <c r="S195" s="45">
        <f t="shared" si="60"/>
        <v>24949.695283111985</v>
      </c>
      <c r="T195" s="45">
        <f t="shared" si="60"/>
        <v>25199.192235943105</v>
      </c>
      <c r="U195" s="45">
        <f t="shared" si="60"/>
        <v>25451.184158302534</v>
      </c>
      <c r="V195" s="45">
        <f t="shared" si="60"/>
        <v>25705.695999885564</v>
      </c>
      <c r="W195" s="45">
        <f t="shared" si="60"/>
        <v>25962.752959884416</v>
      </c>
      <c r="X195" s="45">
        <f t="shared" si="60"/>
        <v>26222.380489483261</v>
      </c>
      <c r="Y195" s="45">
        <f t="shared" si="60"/>
        <v>26484.604294378096</v>
      </c>
      <c r="Z195" s="45">
        <f t="shared" si="60"/>
        <v>26749.450337321876</v>
      </c>
      <c r="AA195" s="45">
        <f t="shared" si="60"/>
        <v>27016.944840695094</v>
      </c>
      <c r="AB195" s="45">
        <f t="shared" si="60"/>
        <v>27287.114289102043</v>
      </c>
      <c r="AC195" s="263">
        <f t="shared" si="60"/>
        <v>27559.985431993067</v>
      </c>
      <c r="AD195" s="338">
        <f t="shared" si="33"/>
        <v>496371.02863129927</v>
      </c>
    </row>
    <row r="196" spans="1:30" s="53" customFormat="1" ht="12">
      <c r="A196" s="44"/>
      <c r="B196" s="70"/>
      <c r="C196" s="78" t="s">
        <v>453</v>
      </c>
      <c r="D196" s="253"/>
      <c r="E196" s="217"/>
      <c r="F196" s="255">
        <f>F130*$D$177</f>
        <v>-1.0579557447017054</v>
      </c>
      <c r="G196" s="255">
        <f t="shared" ref="G196:AC196" si="61">G130*$D$177</f>
        <v>-1.0513660688679827</v>
      </c>
      <c r="H196" s="255">
        <f t="shared" si="61"/>
        <v>-1.0447310735960231</v>
      </c>
      <c r="I196" s="255">
        <f t="shared" si="61"/>
        <v>-1.0380502897568995</v>
      </c>
      <c r="J196" s="255">
        <f t="shared" si="61"/>
        <v>-1.0313232417242824</v>
      </c>
      <c r="K196" s="255">
        <f t="shared" si="61"/>
        <v>-1.0245494472615633</v>
      </c>
      <c r="L196" s="255">
        <f t="shared" si="61"/>
        <v>-1.0177284174066159</v>
      </c>
      <c r="M196" s="255">
        <f t="shared" si="61"/>
        <v>-1.0108596563541394</v>
      </c>
      <c r="N196" s="255">
        <f t="shared" si="61"/>
        <v>-1.003942661335524</v>
      </c>
      <c r="O196" s="255">
        <f t="shared" si="61"/>
        <v>-0.99697692249617464</v>
      </c>
      <c r="P196" s="255">
        <f t="shared" si="61"/>
        <v>-0.98996192277023143</v>
      </c>
      <c r="Q196" s="255">
        <f t="shared" si="61"/>
        <v>-0.98289713775262655</v>
      </c>
      <c r="R196" s="255">
        <f t="shared" si="61"/>
        <v>-0.97578203556840304</v>
      </c>
      <c r="S196" s="255">
        <f t="shared" si="61"/>
        <v>-0.96861607673923533</v>
      </c>
      <c r="T196" s="255">
        <f t="shared" si="61"/>
        <v>-0.96139871404707389</v>
      </c>
      <c r="U196" s="255">
        <f t="shared" si="61"/>
        <v>-0.95412939239484595</v>
      </c>
      <c r="V196" s="255">
        <f t="shared" si="61"/>
        <v>-0.94680754866414052</v>
      </c>
      <c r="W196" s="255">
        <f t="shared" si="61"/>
        <v>-0.93943261156979041</v>
      </c>
      <c r="X196" s="255">
        <f t="shared" si="61"/>
        <v>-0.93200400151128449</v>
      </c>
      <c r="Y196" s="255">
        <f t="shared" si="61"/>
        <v>-0.92452113042092332</v>
      </c>
      <c r="Z196" s="255">
        <f t="shared" si="61"/>
        <v>-0.9169834016086349</v>
      </c>
      <c r="AA196" s="255">
        <f t="shared" si="61"/>
        <v>-0.90939020960336192</v>
      </c>
      <c r="AB196" s="255">
        <f t="shared" si="61"/>
        <v>-0.9017409399909404</v>
      </c>
      <c r="AC196" s="268">
        <f t="shared" si="61"/>
        <v>-0.89403496924836867</v>
      </c>
      <c r="AD196" s="346">
        <f t="shared" si="33"/>
        <v>-23.475183615390776</v>
      </c>
    </row>
    <row r="197" spans="1:30" s="53" customFormat="1" ht="12">
      <c r="A197" s="44"/>
      <c r="B197" s="70"/>
      <c r="C197" s="299" t="s">
        <v>155</v>
      </c>
      <c r="D197" s="253"/>
      <c r="E197" s="217"/>
      <c r="F197" s="255">
        <f>F196*F195</f>
        <v>0</v>
      </c>
      <c r="G197" s="255">
        <f t="shared" ref="G197:AC197" si="62">G196*G195</f>
        <v>0</v>
      </c>
      <c r="H197" s="255">
        <f t="shared" si="62"/>
        <v>0</v>
      </c>
      <c r="I197" s="255">
        <f t="shared" si="62"/>
        <v>0</v>
      </c>
      <c r="J197" s="255">
        <f t="shared" si="62"/>
        <v>-17403.579704097265</v>
      </c>
      <c r="K197" s="305">
        <f t="shared" si="62"/>
        <v>-23606.259608310957</v>
      </c>
      <c r="L197" s="255">
        <f t="shared" si="62"/>
        <v>-23683.589805482403</v>
      </c>
      <c r="M197" s="255">
        <f t="shared" si="62"/>
        <v>-23758.984118905257</v>
      </c>
      <c r="N197" s="255">
        <f t="shared" si="62"/>
        <v>-23832.372944154602</v>
      </c>
      <c r="O197" s="255">
        <f t="shared" si="62"/>
        <v>-23903.684957522226</v>
      </c>
      <c r="P197" s="255">
        <f t="shared" si="62"/>
        <v>-23972.84707575836</v>
      </c>
      <c r="Q197" s="255">
        <f t="shared" si="62"/>
        <v>-24039.78441483284</v>
      </c>
      <c r="R197" s="255">
        <f t="shared" si="62"/>
        <v>-24104.420247689501</v>
      </c>
      <c r="S197" s="255">
        <f t="shared" si="62"/>
        <v>-24166.675960967335</v>
      </c>
      <c r="T197" s="255">
        <f t="shared" si="62"/>
        <v>-24226.471010660709</v>
      </c>
      <c r="U197" s="255">
        <f t="shared" si="62"/>
        <v>-24283.722876690525</v>
      </c>
      <c r="V197" s="255">
        <f t="shared" si="62"/>
        <v>-24338.347016357253</v>
      </c>
      <c r="W197" s="255">
        <f t="shared" si="62"/>
        <v>-24390.256816645524</v>
      </c>
      <c r="X197" s="255">
        <f t="shared" si="62"/>
        <v>-24439.363545349835</v>
      </c>
      <c r="Y197" s="255">
        <f t="shared" si="62"/>
        <v>-24485.576300989276</v>
      </c>
      <c r="Z197" s="255">
        <f t="shared" si="62"/>
        <v>-24528.801961478661</v>
      </c>
      <c r="AA197" s="255">
        <f t="shared" si="62"/>
        <v>-24568.945131522178</v>
      </c>
      <c r="AB197" s="255">
        <f t="shared" si="62"/>
        <v>-24605.908088695098</v>
      </c>
      <c r="AC197" s="268">
        <f t="shared" si="62"/>
        <v>-24639.590728177409</v>
      </c>
      <c r="AD197" s="346">
        <f t="shared" si="33"/>
        <v>-476979.18231428711</v>
      </c>
    </row>
    <row r="198" spans="1:30" s="53" customFormat="1" ht="12">
      <c r="A198" s="44"/>
      <c r="B198" s="70"/>
      <c r="C198" s="78" t="s">
        <v>469</v>
      </c>
      <c r="D198" s="253">
        <f>D144</f>
        <v>5.8860036870687518</v>
      </c>
      <c r="E198" s="217"/>
      <c r="F198" s="255">
        <f t="shared" ref="F198" si="63">$D198*F190</f>
        <v>0</v>
      </c>
      <c r="G198" s="255">
        <f t="shared" ref="G198:AC198" si="64">$D198*G190</f>
        <v>0</v>
      </c>
      <c r="H198" s="255">
        <f t="shared" si="64"/>
        <v>0</v>
      </c>
      <c r="I198" s="255">
        <f t="shared" si="64"/>
        <v>0</v>
      </c>
      <c r="J198" s="255">
        <f t="shared" si="64"/>
        <v>59595.787331571111</v>
      </c>
      <c r="K198" s="255">
        <f t="shared" si="64"/>
        <v>81370.322221421069</v>
      </c>
      <c r="L198" s="255">
        <f t="shared" si="64"/>
        <v>82184.025443635284</v>
      </c>
      <c r="M198" s="255">
        <f t="shared" si="64"/>
        <v>83005.865698071648</v>
      </c>
      <c r="N198" s="255">
        <f t="shared" si="64"/>
        <v>83835.924355052353</v>
      </c>
      <c r="O198" s="255">
        <f t="shared" si="64"/>
        <v>84674.28359860288</v>
      </c>
      <c r="P198" s="255">
        <f t="shared" si="64"/>
        <v>85521.026434588915</v>
      </c>
      <c r="Q198" s="255">
        <f t="shared" si="64"/>
        <v>86376.236698934808</v>
      </c>
      <c r="R198" s="255">
        <f t="shared" si="64"/>
        <v>87239.999065924145</v>
      </c>
      <c r="S198" s="255">
        <f t="shared" si="64"/>
        <v>88112.399056583396</v>
      </c>
      <c r="T198" s="255">
        <f t="shared" si="64"/>
        <v>88993.523047149225</v>
      </c>
      <c r="U198" s="255">
        <f t="shared" si="64"/>
        <v>89883.45827762071</v>
      </c>
      <c r="V198" s="255">
        <f t="shared" si="64"/>
        <v>90782.292860396934</v>
      </c>
      <c r="W198" s="255">
        <f t="shared" si="64"/>
        <v>91690.115789000876</v>
      </c>
      <c r="X198" s="255">
        <f t="shared" si="64"/>
        <v>92607.016946890901</v>
      </c>
      <c r="Y198" s="255">
        <f t="shared" si="64"/>
        <v>93533.08711635982</v>
      </c>
      <c r="Z198" s="255">
        <f t="shared" si="64"/>
        <v>94468.417987523411</v>
      </c>
      <c r="AA198" s="255">
        <f t="shared" si="64"/>
        <v>95413.10216739864</v>
      </c>
      <c r="AB198" s="255">
        <f t="shared" si="64"/>
        <v>96367.23318907262</v>
      </c>
      <c r="AC198" s="268">
        <f t="shared" si="64"/>
        <v>97330.905520963352</v>
      </c>
      <c r="AD198" s="346">
        <f t="shared" ref="AD198:AD266" si="65">SUM(F198:AC198)</f>
        <v>1752985.022806762</v>
      </c>
    </row>
    <row r="199" spans="1:30" s="53" customFormat="1" ht="12">
      <c r="A199" s="44"/>
      <c r="B199" s="70"/>
      <c r="C199" s="224"/>
      <c r="D199" s="253"/>
      <c r="E199" s="217"/>
      <c r="F199" s="255"/>
      <c r="G199" s="255"/>
      <c r="H199" s="255"/>
      <c r="I199" s="255"/>
      <c r="J199" s="255"/>
      <c r="K199" s="255"/>
      <c r="L199" s="255"/>
      <c r="M199" s="255"/>
      <c r="N199" s="255"/>
      <c r="O199" s="255"/>
      <c r="P199" s="255"/>
      <c r="Q199" s="255"/>
      <c r="R199" s="255"/>
      <c r="S199" s="255"/>
      <c r="T199" s="255"/>
      <c r="U199" s="255"/>
      <c r="V199" s="255"/>
      <c r="W199" s="255"/>
      <c r="X199" s="255"/>
      <c r="Y199" s="255"/>
      <c r="Z199" s="255"/>
      <c r="AA199" s="255"/>
      <c r="AB199" s="255"/>
      <c r="AC199" s="268"/>
      <c r="AD199" s="346"/>
    </row>
    <row r="200" spans="1:30" s="53" customFormat="1" ht="12">
      <c r="A200" s="44"/>
      <c r="B200" s="5" t="s">
        <v>352</v>
      </c>
      <c r="C200" s="47"/>
      <c r="D200" s="253"/>
      <c r="E200" s="217"/>
      <c r="F200" s="255"/>
      <c r="G200" s="255"/>
      <c r="H200" s="255"/>
      <c r="I200" s="255"/>
      <c r="J200" s="255"/>
      <c r="K200" s="255"/>
      <c r="L200" s="255"/>
      <c r="M200" s="255"/>
      <c r="N200" s="255"/>
      <c r="O200" s="255"/>
      <c r="P200" s="255"/>
      <c r="Q200" s="255"/>
      <c r="R200" s="255"/>
      <c r="S200" s="255"/>
      <c r="T200" s="255"/>
      <c r="U200" s="255"/>
      <c r="V200" s="255"/>
      <c r="W200" s="255"/>
      <c r="X200" s="255"/>
      <c r="Y200" s="255"/>
      <c r="Z200" s="255"/>
      <c r="AA200" s="255"/>
      <c r="AB200" s="255"/>
      <c r="AC200" s="268"/>
      <c r="AD200" s="346"/>
    </row>
    <row r="201" spans="1:30" s="70" customFormat="1" ht="12">
      <c r="A201" s="55"/>
      <c r="B201" s="5"/>
      <c r="C201" s="78" t="s">
        <v>419</v>
      </c>
      <c r="D201" s="253"/>
      <c r="E201" s="217"/>
      <c r="F201" s="45">
        <f>F31</f>
        <v>0</v>
      </c>
      <c r="G201" s="45">
        <f t="shared" ref="G201:AC201" si="66">G31</f>
        <v>0</v>
      </c>
      <c r="H201" s="45">
        <f t="shared" si="66"/>
        <v>0</v>
      </c>
      <c r="I201" s="45">
        <f t="shared" si="66"/>
        <v>0</v>
      </c>
      <c r="J201" s="45">
        <f t="shared" si="66"/>
        <v>288.77470312820395</v>
      </c>
      <c r="K201" s="45">
        <f t="shared" si="66"/>
        <v>398.00837417537031</v>
      </c>
      <c r="L201" s="45">
        <f t="shared" si="66"/>
        <v>410.98381084646888</v>
      </c>
      <c r="M201" s="45">
        <f t="shared" si="66"/>
        <v>12.975436671098457</v>
      </c>
      <c r="N201" s="45">
        <f t="shared" si="66"/>
        <v>424.27688486030195</v>
      </c>
      <c r="O201" s="45">
        <f t="shared" si="66"/>
        <v>424.5945222030366</v>
      </c>
      <c r="P201" s="45">
        <f t="shared" si="66"/>
        <v>424.91215954577143</v>
      </c>
      <c r="Q201" s="45">
        <f t="shared" si="66"/>
        <v>425.22979688850597</v>
      </c>
      <c r="R201" s="45">
        <f t="shared" si="66"/>
        <v>425.54743423124063</v>
      </c>
      <c r="S201" s="45">
        <f t="shared" si="66"/>
        <v>425.8650715739754</v>
      </c>
      <c r="T201" s="45">
        <f t="shared" si="66"/>
        <v>426.18270891670988</v>
      </c>
      <c r="U201" s="45">
        <f t="shared" si="66"/>
        <v>426.5003462594446</v>
      </c>
      <c r="V201" s="45">
        <f t="shared" si="66"/>
        <v>426.81798360217925</v>
      </c>
      <c r="W201" s="45">
        <f t="shared" si="66"/>
        <v>427.13562094491391</v>
      </c>
      <c r="X201" s="45">
        <f t="shared" si="66"/>
        <v>430.65596656317638</v>
      </c>
      <c r="Y201" s="45">
        <f t="shared" si="66"/>
        <v>430.97599798301843</v>
      </c>
      <c r="Z201" s="45">
        <f t="shared" si="66"/>
        <v>431.29602940286048</v>
      </c>
      <c r="AA201" s="45">
        <f t="shared" si="66"/>
        <v>431.61606082270248</v>
      </c>
      <c r="AB201" s="45">
        <f t="shared" si="66"/>
        <v>431.93609224254448</v>
      </c>
      <c r="AC201" s="263">
        <f t="shared" si="66"/>
        <v>432.25612366238659</v>
      </c>
      <c r="AD201" s="338">
        <f t="shared" si="65"/>
        <v>7956.541124523912</v>
      </c>
    </row>
    <row r="202" spans="1:30" s="70" customFormat="1" ht="12">
      <c r="A202" s="55"/>
      <c r="B202" s="5"/>
      <c r="C202" s="78" t="s">
        <v>432</v>
      </c>
      <c r="D202" s="253"/>
      <c r="E202" s="217"/>
      <c r="F202" s="255">
        <f>F163*$D$177</f>
        <v>-1.3975390780350385</v>
      </c>
      <c r="G202" s="255">
        <f t="shared" ref="G202:AC202" si="67">G163*$D$177</f>
        <v>-1.3909494022013162</v>
      </c>
      <c r="H202" s="255">
        <f t="shared" si="67"/>
        <v>-1.3843144069293567</v>
      </c>
      <c r="I202" s="255">
        <f t="shared" si="67"/>
        <v>-1.3776336230902326</v>
      </c>
      <c r="J202" s="255">
        <f t="shared" si="67"/>
        <v>-1.3709065750576155</v>
      </c>
      <c r="K202" s="255">
        <f t="shared" si="67"/>
        <v>-1.3641327805948968</v>
      </c>
      <c r="L202" s="255">
        <f t="shared" si="67"/>
        <v>-1.3573117507399495</v>
      </c>
      <c r="M202" s="255">
        <f t="shared" si="67"/>
        <v>-1.3504429896874726</v>
      </c>
      <c r="N202" s="255">
        <f t="shared" si="67"/>
        <v>-1.3435259946688571</v>
      </c>
      <c r="O202" s="255">
        <f t="shared" si="67"/>
        <v>-1.3365602558295082</v>
      </c>
      <c r="P202" s="255">
        <f t="shared" si="67"/>
        <v>-1.329545256103565</v>
      </c>
      <c r="Q202" s="255">
        <f t="shared" si="67"/>
        <v>-1.3224804710859601</v>
      </c>
      <c r="R202" s="255">
        <f t="shared" si="67"/>
        <v>-1.3153653689017357</v>
      </c>
      <c r="S202" s="255">
        <f t="shared" si="67"/>
        <v>-1.3081994100725685</v>
      </c>
      <c r="T202" s="255">
        <f t="shared" si="67"/>
        <v>-1.300982047380407</v>
      </c>
      <c r="U202" s="255">
        <f t="shared" si="67"/>
        <v>-1.2937127257281795</v>
      </c>
      <c r="V202" s="255">
        <f t="shared" si="67"/>
        <v>-1.2863908819974736</v>
      </c>
      <c r="W202" s="255">
        <f t="shared" si="67"/>
        <v>-1.279015944903124</v>
      </c>
      <c r="X202" s="255">
        <f t="shared" si="67"/>
        <v>-1.2715873348446176</v>
      </c>
      <c r="Y202" s="255">
        <f t="shared" si="67"/>
        <v>-1.2641044637542564</v>
      </c>
      <c r="Z202" s="255">
        <f t="shared" si="67"/>
        <v>-1.2565667349419685</v>
      </c>
      <c r="AA202" s="255">
        <f t="shared" si="67"/>
        <v>-1.2489735429366955</v>
      </c>
      <c r="AB202" s="255">
        <f t="shared" si="67"/>
        <v>-1.2413242733242735</v>
      </c>
      <c r="AC202" s="268">
        <f t="shared" si="67"/>
        <v>-1.2336183025817018</v>
      </c>
      <c r="AD202" s="346">
        <f t="shared" si="65"/>
        <v>-31.625183615390775</v>
      </c>
    </row>
    <row r="203" spans="1:30" s="70" customFormat="1" ht="12">
      <c r="A203" s="55"/>
      <c r="B203" s="5"/>
      <c r="C203" s="299" t="s">
        <v>155</v>
      </c>
      <c r="D203" s="253"/>
      <c r="E203" s="217"/>
      <c r="F203" s="255">
        <f>F202*F201</f>
        <v>0</v>
      </c>
      <c r="G203" s="255">
        <f t="shared" ref="G203:AC203" si="68">G202*G201</f>
        <v>0</v>
      </c>
      <c r="H203" s="255">
        <f t="shared" si="68"/>
        <v>0</v>
      </c>
      <c r="I203" s="255">
        <f t="shared" si="68"/>
        <v>0</v>
      </c>
      <c r="J203" s="255">
        <f t="shared" si="68"/>
        <v>-395.88313922876574</v>
      </c>
      <c r="K203" s="255">
        <f t="shared" si="68"/>
        <v>-542.93627016390201</v>
      </c>
      <c r="L203" s="255">
        <f t="shared" si="68"/>
        <v>-557.83315582579689</v>
      </c>
      <c r="M203" s="255">
        <f t="shared" si="68"/>
        <v>-17.522587490618665</v>
      </c>
      <c r="N203" s="255">
        <f t="shared" si="68"/>
        <v>-570.02702374694138</v>
      </c>
      <c r="O203" s="255">
        <f t="shared" si="68"/>
        <v>-567.49616321949838</v>
      </c>
      <c r="P203" s="255">
        <f t="shared" si="68"/>
        <v>-564.93994598480151</v>
      </c>
      <c r="Q203" s="255">
        <f t="shared" si="68"/>
        <v>-562.35810210889849</v>
      </c>
      <c r="R203" s="255">
        <f t="shared" si="68"/>
        <v>-559.7503578127629</v>
      </c>
      <c r="S203" s="255">
        <f t="shared" si="68"/>
        <v>-557.11643540358671</v>
      </c>
      <c r="T203" s="255">
        <f t="shared" si="68"/>
        <v>-554.45605320458924</v>
      </c>
      <c r="U203" s="255">
        <f t="shared" si="68"/>
        <v>-551.76892548331841</v>
      </c>
      <c r="V203" s="255">
        <f t="shared" si="68"/>
        <v>-549.05476237839059</v>
      </c>
      <c r="W203" s="255">
        <f t="shared" si="68"/>
        <v>-546.31326982464168</v>
      </c>
      <c r="X203" s="255">
        <f t="shared" si="68"/>
        <v>-547.61667275700222</v>
      </c>
      <c r="Y203" s="255">
        <f t="shared" si="68"/>
        <v>-544.79868282127904</v>
      </c>
      <c r="Z203" s="255">
        <f t="shared" si="68"/>
        <v>-541.95224346018767</v>
      </c>
      <c r="AA203" s="255">
        <f t="shared" si="68"/>
        <v>-539.077040674111</v>
      </c>
      <c r="AB203" s="255">
        <f t="shared" si="68"/>
        <v>-536.17275582550292</v>
      </c>
      <c r="AC203" s="268">
        <f t="shared" si="68"/>
        <v>-533.23906555293956</v>
      </c>
      <c r="AD203" s="346">
        <f t="shared" si="65"/>
        <v>-10340.312652967534</v>
      </c>
    </row>
    <row r="204" spans="1:30" s="70" customFormat="1" ht="12">
      <c r="A204" s="55"/>
      <c r="B204" s="5"/>
      <c r="C204" s="78" t="s">
        <v>483</v>
      </c>
      <c r="D204" s="253">
        <f>D171</f>
        <v>3.8400000000000007</v>
      </c>
      <c r="E204" s="217"/>
      <c r="F204" s="255">
        <f t="shared" ref="F204" si="69">$D204*F201</f>
        <v>0</v>
      </c>
      <c r="G204" s="255">
        <f t="shared" ref="G204:AC204" si="70">$D204*G201</f>
        <v>0</v>
      </c>
      <c r="H204" s="255">
        <f t="shared" si="70"/>
        <v>0</v>
      </c>
      <c r="I204" s="255">
        <f t="shared" si="70"/>
        <v>0</v>
      </c>
      <c r="J204" s="255">
        <f t="shared" si="70"/>
        <v>1108.8948600123033</v>
      </c>
      <c r="K204" s="255">
        <f t="shared" si="70"/>
        <v>1528.3521568334222</v>
      </c>
      <c r="L204" s="255">
        <f t="shared" si="70"/>
        <v>1578.1778336504408</v>
      </c>
      <c r="M204" s="255">
        <f t="shared" si="70"/>
        <v>49.825676817018085</v>
      </c>
      <c r="N204" s="255">
        <f t="shared" si="70"/>
        <v>1629.2232378635597</v>
      </c>
      <c r="O204" s="255">
        <f t="shared" si="70"/>
        <v>1630.4429652596609</v>
      </c>
      <c r="P204" s="255">
        <f t="shared" si="70"/>
        <v>1631.6626926557626</v>
      </c>
      <c r="Q204" s="255">
        <f t="shared" si="70"/>
        <v>1632.8824200518632</v>
      </c>
      <c r="R204" s="255">
        <f t="shared" si="70"/>
        <v>1634.1021474479644</v>
      </c>
      <c r="S204" s="255">
        <f t="shared" si="70"/>
        <v>1635.3218748440659</v>
      </c>
      <c r="T204" s="255">
        <f t="shared" si="70"/>
        <v>1636.5416022401662</v>
      </c>
      <c r="U204" s="255">
        <f t="shared" si="70"/>
        <v>1637.7613296362676</v>
      </c>
      <c r="V204" s="255">
        <f t="shared" si="70"/>
        <v>1638.9810570323687</v>
      </c>
      <c r="W204" s="255">
        <f t="shared" si="70"/>
        <v>1640.2007844284697</v>
      </c>
      <c r="X204" s="255">
        <f t="shared" si="70"/>
        <v>1653.7189116025977</v>
      </c>
      <c r="Y204" s="255">
        <f t="shared" si="70"/>
        <v>1654.9478322547911</v>
      </c>
      <c r="Z204" s="255">
        <f t="shared" si="70"/>
        <v>1656.1767529069846</v>
      </c>
      <c r="AA204" s="255">
        <f t="shared" si="70"/>
        <v>1657.4056735591778</v>
      </c>
      <c r="AB204" s="255">
        <f t="shared" si="70"/>
        <v>1658.634594211371</v>
      </c>
      <c r="AC204" s="268">
        <f t="shared" si="70"/>
        <v>1659.8635148635649</v>
      </c>
      <c r="AD204" s="346">
        <f t="shared" si="65"/>
        <v>30553.117918171818</v>
      </c>
    </row>
    <row r="205" spans="1:30" s="53" customFormat="1" ht="12">
      <c r="A205" s="45"/>
      <c r="B205" s="5"/>
      <c r="C205" s="78"/>
      <c r="D205" s="253"/>
      <c r="E205" s="217"/>
      <c r="F205" s="45"/>
      <c r="G205" s="57"/>
      <c r="AC205" s="263"/>
      <c r="AD205" s="338"/>
    </row>
    <row r="206" spans="1:30" s="53" customFormat="1" ht="12">
      <c r="A206" s="45"/>
      <c r="B206" s="55"/>
      <c r="C206" s="5" t="s">
        <v>487</v>
      </c>
      <c r="D206" s="253"/>
      <c r="E206" s="220"/>
      <c r="F206" s="83">
        <f t="shared" ref="F206:AC206" si="71">F181+F182+F187+F188++F192+F193+F197+F198+F203+F204</f>
        <v>0</v>
      </c>
      <c r="G206" s="83">
        <f t="shared" si="71"/>
        <v>0</v>
      </c>
      <c r="H206" s="83">
        <f t="shared" si="71"/>
        <v>0</v>
      </c>
      <c r="I206" s="83">
        <f t="shared" si="71"/>
        <v>0</v>
      </c>
      <c r="J206" s="83">
        <f t="shared" si="71"/>
        <v>177640.09200353522</v>
      </c>
      <c r="K206" s="83">
        <f t="shared" si="71"/>
        <v>242883.96871120349</v>
      </c>
      <c r="L206" s="83">
        <f t="shared" si="71"/>
        <v>245746.87876602967</v>
      </c>
      <c r="M206" s="83">
        <f t="shared" si="71"/>
        <v>241679.89170068919</v>
      </c>
      <c r="N206" s="83">
        <f t="shared" si="71"/>
        <v>251362.68659185476</v>
      </c>
      <c r="O206" s="83">
        <f t="shared" si="71"/>
        <v>254110.0707051027</v>
      </c>
      <c r="P206" s="83">
        <f t="shared" si="71"/>
        <v>256888.05794725759</v>
      </c>
      <c r="Q206" s="83">
        <f t="shared" si="71"/>
        <v>259697.0171457541</v>
      </c>
      <c r="R206" s="83">
        <f t="shared" si="71"/>
        <v>262537.32213259646</v>
      </c>
      <c r="S206" s="83">
        <f t="shared" si="71"/>
        <v>265409.35182445002</v>
      </c>
      <c r="T206" s="83">
        <f t="shared" si="71"/>
        <v>268313.49030429352</v>
      </c>
      <c r="U206" s="83">
        <f t="shared" si="71"/>
        <v>271250.1269046698</v>
      </c>
      <c r="V206" s="83">
        <f t="shared" si="71"/>
        <v>274219.65629257337</v>
      </c>
      <c r="W206" s="83">
        <f t="shared" si="71"/>
        <v>277222.47855601215</v>
      </c>
      <c r="X206" s="83">
        <f t="shared" si="71"/>
        <v>280322.38841348927</v>
      </c>
      <c r="Y206" s="83">
        <f t="shared" si="71"/>
        <v>283393.93107226695</v>
      </c>
      <c r="Z206" s="83">
        <f t="shared" si="71"/>
        <v>286500.0079255203</v>
      </c>
      <c r="AA206" s="83">
        <f t="shared" si="71"/>
        <v>289641.04173017474</v>
      </c>
      <c r="AB206" s="83">
        <f t="shared" si="71"/>
        <v>292817.4611248087</v>
      </c>
      <c r="AC206" s="272">
        <f t="shared" si="71"/>
        <v>296029.70072717947</v>
      </c>
      <c r="AD206" s="355">
        <f t="shared" si="65"/>
        <v>5277665.6205794616</v>
      </c>
    </row>
    <row r="207" spans="1:30" s="53" customFormat="1" ht="12">
      <c r="A207" s="45"/>
      <c r="B207" s="45"/>
      <c r="D207" s="209"/>
      <c r="E207" s="217"/>
      <c r="F207" s="45"/>
      <c r="G207" s="57"/>
      <c r="AC207" s="263"/>
      <c r="AD207" s="338"/>
    </row>
    <row r="208" spans="1:30" s="53" customFormat="1" ht="12">
      <c r="A208" s="45"/>
      <c r="B208" s="5" t="s">
        <v>507</v>
      </c>
      <c r="C208" s="5"/>
      <c r="D208" s="209"/>
      <c r="E208" s="217"/>
      <c r="G208" s="57"/>
      <c r="AC208" s="263"/>
      <c r="AD208" s="338"/>
    </row>
    <row r="209" spans="1:30" s="53" customFormat="1" ht="12">
      <c r="A209" s="45"/>
      <c r="B209" s="55" t="s">
        <v>508</v>
      </c>
      <c r="C209" s="225" t="s">
        <v>509</v>
      </c>
      <c r="D209" s="287">
        <v>5.3999999999999999E-2</v>
      </c>
      <c r="E209" s="217"/>
      <c r="G209" s="57"/>
      <c r="AC209" s="263"/>
      <c r="AD209" s="338"/>
    </row>
    <row r="210" spans="1:30" s="53" customFormat="1" ht="12">
      <c r="A210" s="45"/>
      <c r="C210" s="70" t="s">
        <v>505</v>
      </c>
      <c r="D210" s="209"/>
      <c r="E210" s="217"/>
      <c r="F210" s="255">
        <f>-F37*$D$209</f>
        <v>0</v>
      </c>
      <c r="G210" s="255">
        <f t="shared" ref="G210:AC210" si="72">-G37*$D$209</f>
        <v>0</v>
      </c>
      <c r="H210" s="255">
        <f t="shared" si="72"/>
        <v>0</v>
      </c>
      <c r="I210" s="255">
        <f t="shared" si="72"/>
        <v>0</v>
      </c>
      <c r="J210" s="255">
        <f t="shared" si="72"/>
        <v>10298.311998091693</v>
      </c>
      <c r="K210" s="255">
        <f t="shared" si="72"/>
        <v>14109.01728751661</v>
      </c>
      <c r="L210" s="255">
        <f t="shared" si="72"/>
        <v>14366.070831910969</v>
      </c>
      <c r="M210" s="255">
        <f t="shared" si="72"/>
        <v>9325.8344756043571</v>
      </c>
      <c r="N210" s="255">
        <f t="shared" si="72"/>
        <v>14719.702620045635</v>
      </c>
      <c r="O210" s="255">
        <f t="shared" si="72"/>
        <v>14816.298909771169</v>
      </c>
      <c r="P210" s="255">
        <f t="shared" si="72"/>
        <v>14913.820214253879</v>
      </c>
      <c r="Q210" s="255">
        <f t="shared" si="72"/>
        <v>15012.275783641333</v>
      </c>
      <c r="R210" s="255">
        <f t="shared" si="72"/>
        <v>15111.674960582577</v>
      </c>
      <c r="S210" s="255">
        <f t="shared" si="72"/>
        <v>15212.027181153155</v>
      </c>
      <c r="T210" s="255">
        <f t="shared" si="72"/>
        <v>15313.34197578935</v>
      </c>
      <c r="U210" s="255">
        <f t="shared" si="72"/>
        <v>15415.62897023183</v>
      </c>
      <c r="V210" s="255">
        <f t="shared" si="72"/>
        <v>15518.897886478657</v>
      </c>
      <c r="W210" s="255">
        <f t="shared" si="72"/>
        <v>15623.158543747861</v>
      </c>
      <c r="X210" s="255">
        <f t="shared" si="72"/>
        <v>15769.708494580818</v>
      </c>
      <c r="Y210" s="255">
        <f t="shared" si="72"/>
        <v>15876.013348485843</v>
      </c>
      <c r="Z210" s="255">
        <f t="shared" si="72"/>
        <v>15983.339994157981</v>
      </c>
      <c r="AA210" s="255">
        <f t="shared" si="72"/>
        <v>16091.698649514887</v>
      </c>
      <c r="AB210" s="255">
        <f t="shared" si="72"/>
        <v>16201.099634653414</v>
      </c>
      <c r="AC210" s="268">
        <f t="shared" si="72"/>
        <v>16311.553372871393</v>
      </c>
      <c r="AD210" s="346">
        <f t="shared" si="65"/>
        <v>295989.47513308341</v>
      </c>
    </row>
    <row r="211" spans="1:30" s="53" customFormat="1" ht="12">
      <c r="A211" s="45"/>
      <c r="B211" s="45"/>
      <c r="C211" s="225" t="s">
        <v>514</v>
      </c>
      <c r="D211" s="209">
        <f>3.2*0.77</f>
        <v>2.4640000000000004</v>
      </c>
      <c r="E211" s="217"/>
      <c r="G211" s="57"/>
      <c r="AC211" s="263"/>
      <c r="AD211" s="338"/>
    </row>
    <row r="212" spans="1:30" s="53" customFormat="1" ht="12">
      <c r="A212" s="45"/>
      <c r="B212" s="45"/>
      <c r="C212" s="224" t="s">
        <v>384</v>
      </c>
      <c r="D212" s="253">
        <f>'Price Assumptions'!B3</f>
        <v>12.5</v>
      </c>
      <c r="E212" s="217"/>
      <c r="G212" s="57"/>
      <c r="AC212" s="263"/>
      <c r="AD212" s="338"/>
    </row>
    <row r="213" spans="1:30" s="53" customFormat="1" ht="12">
      <c r="A213" s="45"/>
      <c r="B213" s="45"/>
      <c r="C213" s="70" t="s">
        <v>506</v>
      </c>
      <c r="D213" s="209"/>
      <c r="E213" s="217"/>
      <c r="F213" s="288">
        <f>($D$211/3600)*$D$212*F44</f>
        <v>0</v>
      </c>
      <c r="G213" s="288">
        <f t="shared" ref="G213:AC213" si="73">($D$211/3600)*$D$212*G44</f>
        <v>0</v>
      </c>
      <c r="H213" s="288">
        <f t="shared" si="73"/>
        <v>0</v>
      </c>
      <c r="I213" s="288">
        <f t="shared" si="73"/>
        <v>0</v>
      </c>
      <c r="J213" s="288">
        <f t="shared" si="73"/>
        <v>257365.62957203979</v>
      </c>
      <c r="K213" s="288">
        <f t="shared" si="73"/>
        <v>257311.54223566581</v>
      </c>
      <c r="L213" s="288">
        <f t="shared" si="73"/>
        <v>257308.1237409036</v>
      </c>
      <c r="M213" s="288">
        <f t="shared" si="73"/>
        <v>257369.26258597744</v>
      </c>
      <c r="N213" s="288">
        <f t="shared" si="73"/>
        <v>257303.23392925953</v>
      </c>
      <c r="O213" s="288">
        <f t="shared" si="73"/>
        <v>257301.7623350223</v>
      </c>
      <c r="P213" s="288">
        <f t="shared" si="73"/>
        <v>257300.27652389411</v>
      </c>
      <c r="Q213" s="288">
        <f t="shared" si="73"/>
        <v>257298.77635370602</v>
      </c>
      <c r="R213" s="288">
        <f t="shared" si="73"/>
        <v>257297.26168086749</v>
      </c>
      <c r="S213" s="288">
        <f t="shared" si="73"/>
        <v>257295.73236035195</v>
      </c>
      <c r="T213" s="288">
        <f t="shared" si="73"/>
        <v>257294.18824568269</v>
      </c>
      <c r="U213" s="288">
        <f t="shared" si="73"/>
        <v>257292.62918891816</v>
      </c>
      <c r="V213" s="288">
        <f t="shared" si="73"/>
        <v>257291.05504063732</v>
      </c>
      <c r="W213" s="288">
        <f t="shared" si="73"/>
        <v>257289.46564992514</v>
      </c>
      <c r="X213" s="288">
        <f t="shared" si="73"/>
        <v>257287.35767538837</v>
      </c>
      <c r="Y213" s="288">
        <f t="shared" si="73"/>
        <v>257285.73696487417</v>
      </c>
      <c r="Z213" s="288">
        <f t="shared" si="73"/>
        <v>257284.10055006764</v>
      </c>
      <c r="AA213" s="288">
        <f t="shared" si="73"/>
        <v>257282.44827392587</v>
      </c>
      <c r="AB213" s="288">
        <f t="shared" si="73"/>
        <v>257280.77997783551</v>
      </c>
      <c r="AC213" s="387">
        <f t="shared" si="73"/>
        <v>257279.09550159707</v>
      </c>
      <c r="AD213" s="356">
        <f t="shared" si="65"/>
        <v>5146018.4583865404</v>
      </c>
    </row>
    <row r="214" spans="1:30" s="53" customFormat="1" ht="12">
      <c r="A214" s="45"/>
      <c r="B214" s="55" t="s">
        <v>388</v>
      </c>
      <c r="C214" s="225" t="s">
        <v>515</v>
      </c>
      <c r="D214" s="209">
        <v>2</v>
      </c>
      <c r="E214" s="217"/>
      <c r="G214" s="57"/>
      <c r="AC214" s="263"/>
      <c r="AD214" s="338"/>
    </row>
    <row r="215" spans="1:30" s="53" customFormat="1" ht="12">
      <c r="A215" s="45"/>
      <c r="B215" s="45"/>
      <c r="C215" s="224" t="s">
        <v>384</v>
      </c>
      <c r="D215" s="253">
        <f>D212</f>
        <v>12.5</v>
      </c>
      <c r="E215" s="217"/>
      <c r="F215" s="45"/>
      <c r="G215" s="57"/>
      <c r="AC215" s="263"/>
      <c r="AD215" s="338"/>
    </row>
    <row r="216" spans="1:30" s="53" customFormat="1" ht="12">
      <c r="A216" s="45"/>
      <c r="B216" s="45"/>
      <c r="C216" s="224" t="s">
        <v>521</v>
      </c>
      <c r="D216" s="322">
        <f>'Mode Operating Assumptions'!C45</f>
        <v>8.4250000000000002E-3</v>
      </c>
      <c r="E216" s="217"/>
      <c r="F216" s="45"/>
      <c r="G216" s="57"/>
      <c r="AC216" s="263"/>
      <c r="AD216" s="346"/>
    </row>
    <row r="217" spans="1:30" s="53" customFormat="1" ht="12">
      <c r="A217" s="45"/>
      <c r="B217" s="45"/>
      <c r="C217" s="70" t="s">
        <v>516</v>
      </c>
      <c r="D217" s="209"/>
      <c r="E217" s="217"/>
      <c r="F217" s="45">
        <f>-(($D$214/3600*$D$215)+$D$216)*F42</f>
        <v>0</v>
      </c>
      <c r="G217" s="45">
        <f>-(($D$214/3600*$D$215)+$D$216)*G42</f>
        <v>0</v>
      </c>
      <c r="H217" s="255">
        <f>-(($D$214/3600*$D$215)+$D$216)*H42</f>
        <v>-342198.75937500002</v>
      </c>
      <c r="I217" s="255">
        <f>-(($D$214/3600*$D$215)+$D$216)*I42</f>
        <v>-228132.50625000001</v>
      </c>
      <c r="J217" s="45">
        <f>-(($D$214/3600*$D$215)+$D$216)*J42</f>
        <v>0</v>
      </c>
      <c r="AC217" s="263"/>
      <c r="AD217" s="346">
        <f t="shared" si="65"/>
        <v>-570331.265625</v>
      </c>
    </row>
    <row r="218" spans="1:30" s="53" customFormat="1" ht="12">
      <c r="A218" s="45"/>
      <c r="B218" s="45"/>
      <c r="C218" s="5"/>
      <c r="D218" s="209"/>
      <c r="E218" s="217"/>
      <c r="F218" s="45"/>
      <c r="G218" s="57"/>
      <c r="AC218" s="263"/>
      <c r="AD218" s="338"/>
    </row>
    <row r="219" spans="1:30" s="53" customFormat="1" ht="12">
      <c r="A219" s="45"/>
      <c r="B219" s="45"/>
      <c r="C219" s="5" t="s">
        <v>517</v>
      </c>
      <c r="D219" s="209"/>
      <c r="E219" s="217"/>
      <c r="F219" s="289">
        <f>F210+F213+F217</f>
        <v>0</v>
      </c>
      <c r="G219" s="289">
        <f t="shared" ref="G219:AC219" si="74">G210+G213+G217</f>
        <v>0</v>
      </c>
      <c r="H219" s="289">
        <f t="shared" si="74"/>
        <v>-342198.75937500002</v>
      </c>
      <c r="I219" s="289">
        <f t="shared" si="74"/>
        <v>-228132.50625000001</v>
      </c>
      <c r="J219" s="289">
        <f t="shared" si="74"/>
        <v>267663.94157013146</v>
      </c>
      <c r="K219" s="289">
        <f t="shared" si="74"/>
        <v>271420.5595231824</v>
      </c>
      <c r="L219" s="289">
        <f t="shared" si="74"/>
        <v>271674.19457281457</v>
      </c>
      <c r="M219" s="289">
        <f t="shared" si="74"/>
        <v>266695.09706158179</v>
      </c>
      <c r="N219" s="289">
        <f t="shared" si="74"/>
        <v>272022.93654930516</v>
      </c>
      <c r="O219" s="289">
        <f t="shared" si="74"/>
        <v>272118.06124479347</v>
      </c>
      <c r="P219" s="289">
        <f t="shared" si="74"/>
        <v>272214.09673814801</v>
      </c>
      <c r="Q219" s="289">
        <f t="shared" si="74"/>
        <v>272311.05213734735</v>
      </c>
      <c r="R219" s="289">
        <f t="shared" si="74"/>
        <v>272408.9366414501</v>
      </c>
      <c r="S219" s="289">
        <f t="shared" si="74"/>
        <v>272507.75954150507</v>
      </c>
      <c r="T219" s="289">
        <f t="shared" si="74"/>
        <v>272607.53022147203</v>
      </c>
      <c r="U219" s="289">
        <f t="shared" si="74"/>
        <v>272708.25815914996</v>
      </c>
      <c r="V219" s="289">
        <f t="shared" si="74"/>
        <v>272809.95292711596</v>
      </c>
      <c r="W219" s="289">
        <f t="shared" si="74"/>
        <v>272912.62419367302</v>
      </c>
      <c r="X219" s="289">
        <f t="shared" si="74"/>
        <v>273057.06616996921</v>
      </c>
      <c r="Y219" s="289">
        <f t="shared" si="74"/>
        <v>273161.75031336001</v>
      </c>
      <c r="Z219" s="289">
        <f t="shared" si="74"/>
        <v>273267.44054422562</v>
      </c>
      <c r="AA219" s="289">
        <f t="shared" si="74"/>
        <v>273374.14692344074</v>
      </c>
      <c r="AB219" s="289">
        <f t="shared" si="74"/>
        <v>273481.8796124889</v>
      </c>
      <c r="AC219" s="318">
        <f t="shared" si="74"/>
        <v>273590.64887446846</v>
      </c>
      <c r="AD219" s="347">
        <f t="shared" si="65"/>
        <v>4871676.6678946232</v>
      </c>
    </row>
    <row r="220" spans="1:30" s="53" customFormat="1" ht="12">
      <c r="A220" s="45"/>
      <c r="B220" s="45"/>
      <c r="C220" s="5"/>
      <c r="D220" s="209"/>
      <c r="E220" s="217"/>
      <c r="F220" s="45"/>
      <c r="G220" s="57"/>
      <c r="AC220" s="263"/>
      <c r="AD220" s="338"/>
    </row>
    <row r="221" spans="1:30" s="53" customFormat="1" ht="12">
      <c r="A221" s="45"/>
      <c r="B221" s="55" t="s">
        <v>501</v>
      </c>
      <c r="C221" s="5"/>
      <c r="D221" s="209"/>
      <c r="E221" s="217"/>
      <c r="F221" s="233">
        <f>F38</f>
        <v>0</v>
      </c>
      <c r="G221" s="233">
        <f t="shared" ref="G221:AC221" si="75">G38</f>
        <v>0</v>
      </c>
      <c r="H221" s="233">
        <f t="shared" si="75"/>
        <v>0</v>
      </c>
      <c r="I221" s="233">
        <f t="shared" si="75"/>
        <v>0</v>
      </c>
      <c r="J221" s="233">
        <f t="shared" si="75"/>
        <v>30769.601426337726</v>
      </c>
      <c r="K221" s="233">
        <f t="shared" si="75"/>
        <v>41283.847085231464</v>
      </c>
      <c r="L221" s="233">
        <f t="shared" si="75"/>
        <v>41184.577965370059</v>
      </c>
      <c r="M221" s="233">
        <f t="shared" si="75"/>
        <v>26204.492107440168</v>
      </c>
      <c r="N221" s="233">
        <f t="shared" si="75"/>
        <v>41338.72138342449</v>
      </c>
      <c r="O221" s="233">
        <f t="shared" si="75"/>
        <v>41587.979016756137</v>
      </c>
      <c r="P221" s="233">
        <f t="shared" si="75"/>
        <v>41839.567999438332</v>
      </c>
      <c r="Q221" s="233">
        <f t="shared" si="75"/>
        <v>42093.510570521503</v>
      </c>
      <c r="R221" s="233">
        <f t="shared" si="75"/>
        <v>42349.829181280635</v>
      </c>
      <c r="S221" s="233">
        <f t="shared" si="75"/>
        <v>42608.546497245814</v>
      </c>
      <c r="T221" s="233">
        <f t="shared" si="75"/>
        <v>42869.685400252114</v>
      </c>
      <c r="U221" s="233">
        <f t="shared" si="75"/>
        <v>43133.268990509379</v>
      </c>
      <c r="V221" s="233">
        <f t="shared" si="75"/>
        <v>43399.320588691546</v>
      </c>
      <c r="W221" s="233">
        <f t="shared" si="75"/>
        <v>43667.863738046173</v>
      </c>
      <c r="X221" s="233">
        <f t="shared" si="75"/>
        <v>44054.263358972436</v>
      </c>
      <c r="Y221" s="233">
        <f t="shared" si="75"/>
        <v>44327.886590564129</v>
      </c>
      <c r="Z221" s="233">
        <f t="shared" si="75"/>
        <v>44604.073333129716</v>
      </c>
      <c r="AA221" s="233">
        <f t="shared" si="75"/>
        <v>44882.848041756093</v>
      </c>
      <c r="AB221" s="233">
        <f t="shared" si="75"/>
        <v>45164.235404958505</v>
      </c>
      <c r="AC221" s="266">
        <f t="shared" si="75"/>
        <v>45448.260346914358</v>
      </c>
      <c r="AD221" s="348">
        <f t="shared" si="65"/>
        <v>832812.37902684091</v>
      </c>
    </row>
    <row r="222" spans="1:30" s="5" customFormat="1" ht="12">
      <c r="A222" s="58"/>
      <c r="B222" s="58"/>
      <c r="C222" s="5" t="s">
        <v>590</v>
      </c>
      <c r="D222" s="212"/>
      <c r="E222" s="220"/>
      <c r="F222" s="83">
        <f>F221</f>
        <v>0</v>
      </c>
      <c r="G222" s="83">
        <f t="shared" ref="G222:AC222" si="76">G221</f>
        <v>0</v>
      </c>
      <c r="H222" s="83">
        <f t="shared" si="76"/>
        <v>0</v>
      </c>
      <c r="I222" s="83">
        <f>I221</f>
        <v>0</v>
      </c>
      <c r="J222" s="83">
        <f t="shared" si="76"/>
        <v>30769.601426337726</v>
      </c>
      <c r="K222" s="83">
        <f t="shared" si="76"/>
        <v>41283.847085231464</v>
      </c>
      <c r="L222" s="83">
        <f t="shared" si="76"/>
        <v>41184.577965370059</v>
      </c>
      <c r="M222" s="83">
        <f t="shared" si="76"/>
        <v>26204.492107440168</v>
      </c>
      <c r="N222" s="83">
        <f t="shared" si="76"/>
        <v>41338.72138342449</v>
      </c>
      <c r="O222" s="83">
        <f t="shared" si="76"/>
        <v>41587.979016756137</v>
      </c>
      <c r="P222" s="83">
        <f t="shared" si="76"/>
        <v>41839.567999438332</v>
      </c>
      <c r="Q222" s="83">
        <f t="shared" si="76"/>
        <v>42093.510570521503</v>
      </c>
      <c r="R222" s="83">
        <f t="shared" si="76"/>
        <v>42349.829181280635</v>
      </c>
      <c r="S222" s="83">
        <f t="shared" si="76"/>
        <v>42608.546497245814</v>
      </c>
      <c r="T222" s="83">
        <f t="shared" si="76"/>
        <v>42869.685400252114</v>
      </c>
      <c r="U222" s="83">
        <f t="shared" si="76"/>
        <v>43133.268990509379</v>
      </c>
      <c r="V222" s="83">
        <f t="shared" si="76"/>
        <v>43399.320588691546</v>
      </c>
      <c r="W222" s="83">
        <f t="shared" si="76"/>
        <v>43667.863738046173</v>
      </c>
      <c r="X222" s="83">
        <f t="shared" si="76"/>
        <v>44054.263358972436</v>
      </c>
      <c r="Y222" s="83">
        <f t="shared" si="76"/>
        <v>44327.886590564129</v>
      </c>
      <c r="Z222" s="83">
        <f t="shared" si="76"/>
        <v>44604.073333129716</v>
      </c>
      <c r="AA222" s="83">
        <f t="shared" si="76"/>
        <v>44882.848041756093</v>
      </c>
      <c r="AB222" s="83">
        <f t="shared" si="76"/>
        <v>45164.235404958505</v>
      </c>
      <c r="AC222" s="272">
        <f t="shared" si="76"/>
        <v>45448.260346914358</v>
      </c>
      <c r="AD222" s="355">
        <f t="shared" si="65"/>
        <v>832812.37902684091</v>
      </c>
    </row>
    <row r="223" spans="1:30" s="110" customFormat="1" ht="12">
      <c r="A223" s="107"/>
      <c r="B223" s="107"/>
      <c r="C223" s="108"/>
      <c r="D223" s="208"/>
      <c r="E223" s="216"/>
      <c r="F223" s="109"/>
      <c r="G223" s="109"/>
      <c r="H223" s="109"/>
      <c r="I223" s="109"/>
      <c r="J223" s="109"/>
      <c r="K223" s="109"/>
      <c r="L223" s="109"/>
      <c r="M223" s="109"/>
      <c r="N223" s="109"/>
      <c r="O223" s="109"/>
      <c r="P223" s="109"/>
      <c r="Q223" s="109"/>
      <c r="R223" s="109"/>
      <c r="S223" s="109"/>
      <c r="T223" s="109"/>
      <c r="U223" s="109"/>
      <c r="V223" s="109"/>
      <c r="W223" s="109"/>
      <c r="X223" s="109"/>
      <c r="Y223" s="109"/>
      <c r="Z223" s="109"/>
      <c r="AC223" s="262"/>
      <c r="AD223" s="337"/>
    </row>
    <row r="224" spans="1:30" s="53" customFormat="1" ht="12">
      <c r="A224" s="58" t="s">
        <v>344</v>
      </c>
      <c r="B224" s="58"/>
      <c r="D224" s="209"/>
      <c r="E224" s="217"/>
      <c r="F224" s="45"/>
      <c r="G224" s="57"/>
      <c r="AC224" s="263"/>
      <c r="AD224" s="338"/>
    </row>
    <row r="225" spans="1:30" s="53" customFormat="1" ht="12">
      <c r="A225" s="55"/>
      <c r="B225" s="55"/>
      <c r="D225" s="209"/>
      <c r="E225" s="217"/>
      <c r="F225" s="45"/>
      <c r="G225" s="57"/>
      <c r="AC225" s="263"/>
      <c r="AD225" s="338"/>
    </row>
    <row r="226" spans="1:30" s="53" customFormat="1" ht="12">
      <c r="A226" s="45"/>
      <c r="B226" s="45"/>
      <c r="C226" s="46" t="s">
        <v>88</v>
      </c>
      <c r="D226" s="209"/>
      <c r="E226" s="217"/>
      <c r="F226" s="45"/>
      <c r="G226" s="57"/>
      <c r="L226" s="61"/>
      <c r="AC226" s="263"/>
      <c r="AD226" s="338"/>
    </row>
    <row r="227" spans="1:30" s="53" customFormat="1" ht="12">
      <c r="A227" s="45"/>
      <c r="B227" s="45"/>
      <c r="C227" s="78" t="s">
        <v>42</v>
      </c>
      <c r="D227" s="209"/>
      <c r="E227" s="217"/>
      <c r="F227" s="45"/>
      <c r="G227" s="57"/>
      <c r="L227" s="61"/>
      <c r="AC227" s="263"/>
      <c r="AD227" s="338"/>
    </row>
    <row r="228" spans="1:30" s="53" customFormat="1" ht="12">
      <c r="A228" s="45"/>
      <c r="B228" s="45"/>
      <c r="C228" s="48" t="s">
        <v>97</v>
      </c>
      <c r="D228" s="209"/>
      <c r="E228" s="219"/>
      <c r="F228" s="71">
        <f>((('Emissions Assumptions'!D9/907185)+('Emissions Assumptions'!D11/907185))*'Forest Glen'!F36)+(('Emissions Assumptions'!D10/907185)*'Forest Glen'!F37)</f>
        <v>0</v>
      </c>
      <c r="G228" s="71">
        <f>((('Emissions Assumptions'!E9/907185)+('Emissions Assumptions'!E11/907185))*'Forest Glen'!G36)+(('Emissions Assumptions'!E10/907185)*'Forest Glen'!G37)</f>
        <v>0</v>
      </c>
      <c r="H228" s="71">
        <f>((('Emissions Assumptions'!F9/907185)+('Emissions Assumptions'!F11/907185))*'Forest Glen'!H36)+(('Emissions Assumptions'!F10/907185)*'Forest Glen'!H37)</f>
        <v>0</v>
      </c>
      <c r="I228" s="71">
        <f>((('Emissions Assumptions'!G9/907185)+('Emissions Assumptions'!G11/907185))*'Forest Glen'!I36)+(('Emissions Assumptions'!G10/907185)*'Forest Glen'!I37)</f>
        <v>0</v>
      </c>
      <c r="J228" s="71">
        <f>((('Emissions Assumptions'!H9/907185)+('Emissions Assumptions'!H11/907185))*'Forest Glen'!J36)+(('Emissions Assumptions'!H10/907185)*'Forest Glen'!J37)</f>
        <v>-7.0983206929136497E-2</v>
      </c>
      <c r="K228" s="71">
        <f>((('Emissions Assumptions'!I9/907185)+('Emissions Assumptions'!I11/907185))*'Forest Glen'!K36)+(('Emissions Assumptions'!I10/907185)*'Forest Glen'!K37)</f>
        <v>-9.1579974940534742E-2</v>
      </c>
      <c r="L228" s="71">
        <f>((('Emissions Assumptions'!J9/907185)+('Emissions Assumptions'!J11/907185))*'Forest Glen'!L36)+(('Emissions Assumptions'!J10/907185)*'Forest Glen'!L37)</f>
        <v>-8.7444191355362064E-2</v>
      </c>
      <c r="M228" s="71">
        <f>((('Emissions Assumptions'!K9/907185)+('Emissions Assumptions'!K11/907185))*'Forest Glen'!M36)+(('Emissions Assumptions'!K10/907185)*'Forest Glen'!M37)</f>
        <v>-5.556757548868678E-2</v>
      </c>
      <c r="N228" s="71">
        <f>((('Emissions Assumptions'!L9/907185)+('Emissions Assumptions'!L11/907185))*'Forest Glen'!N36)+(('Emissions Assumptions'!L10/907185)*'Forest Glen'!N37)</f>
        <v>-7.7808098296089007E-2</v>
      </c>
      <c r="O228" s="71">
        <f>((('Emissions Assumptions'!M9/907185)+('Emissions Assumptions'!M11/907185))*'Forest Glen'!O36)+(('Emissions Assumptions'!M10/907185)*'Forest Glen'!O37)</f>
        <v>-7.2423637518812423E-2</v>
      </c>
      <c r="P228" s="71">
        <f>((('Emissions Assumptions'!N9/907185)+('Emissions Assumptions'!N11/907185))*'Forest Glen'!P36)+(('Emissions Assumptions'!N10/907185)*'Forest Glen'!P37)</f>
        <v>-7.2047211969132538E-2</v>
      </c>
      <c r="Q228" s="71">
        <f>((('Emissions Assumptions'!O9/907185)+('Emissions Assumptions'!O11/907185))*'Forest Glen'!Q36)+(('Emissions Assumptions'!O10/907185)*'Forest Glen'!Q37)</f>
        <v>-7.1663381983438107E-2</v>
      </c>
      <c r="R228" s="71">
        <f>((('Emissions Assumptions'!P9/907185)+('Emissions Assumptions'!P11/907185))*'Forest Glen'!R36)+(('Emissions Assumptions'!P10/907185)*'Forest Glen'!R37)</f>
        <v>-7.1272018936838294E-2</v>
      </c>
      <c r="S228" s="71">
        <f>((('Emissions Assumptions'!Q9/907185)+('Emissions Assumptions'!Q11/907185))*'Forest Glen'!S36)+(('Emissions Assumptions'!Q10/907185)*'Forest Glen'!S37)</f>
        <v>-7.0872992329706633E-2</v>
      </c>
      <c r="T228" s="71">
        <f>((('Emissions Assumptions'!R9/907185)+('Emissions Assumptions'!R11/907185))*'Forest Glen'!T36)+(('Emissions Assumptions'!R10/907185)*'Forest Glen'!T37)</f>
        <v>-7.0466169763048814E-2</v>
      </c>
      <c r="U228" s="71">
        <f>((('Emissions Assumptions'!S9/907185)+('Emissions Assumptions'!S11/907185))*'Forest Glen'!U36)+(('Emissions Assumptions'!S10/907185)*'Forest Glen'!U37)</f>
        <v>-7.0051416913565423E-2</v>
      </c>
      <c r="V228" s="71">
        <f>((('Emissions Assumptions'!T9/907185)+('Emissions Assumptions'!T11/907185))*'Forest Glen'!V36)+(('Emissions Assumptions'!T10/907185)*'Forest Glen'!V37)</f>
        <v>-6.9628597508405499E-2</v>
      </c>
      <c r="W228" s="71">
        <f>((('Emissions Assumptions'!U9/907185)+('Emissions Assumptions'!U11/907185))*'Forest Glen'!W36)+(('Emissions Assumptions'!U10/907185)*'Forest Glen'!W37)</f>
        <v>-6.919757329960799E-2</v>
      </c>
      <c r="X228" s="71">
        <f>((('Emissions Assumptions'!V9/907185)+('Emissions Assumptions'!V11/907185))*'Forest Glen'!X36)+(('Emissions Assumptions'!V10/907185)*'Forest Glen'!X37)</f>
        <v>-6.8923660228834227E-2</v>
      </c>
      <c r="Y228" s="71">
        <f>((('Emissions Assumptions'!W9/907185)+('Emissions Assumptions'!W11/907185))*'Forest Glen'!Y36)+(('Emissions Assumptions'!W10/907185)*'Forest Glen'!Y37)</f>
        <v>-6.8473773949221495E-2</v>
      </c>
      <c r="Z228" s="71">
        <f>((('Emissions Assumptions'!X9/907185)+('Emissions Assumptions'!X11/907185))*'Forest Glen'!Z36)+(('Emissions Assumptions'!X10/907185)*'Forest Glen'!Z37)</f>
        <v>-6.8955077505620341E-2</v>
      </c>
      <c r="AA228" s="71">
        <f>((('Emissions Assumptions'!Y9/907185)+('Emissions Assumptions'!Y11/907185))*'Forest Glen'!AA36)+(('Emissions Assumptions'!Y10/907185)*'Forest Glen'!AA37)</f>
        <v>-6.9441030915227547E-2</v>
      </c>
      <c r="AB228" s="71">
        <f>((('Emissions Assumptions'!Z9/907185)+('Emissions Assumptions'!Z11/907185))*'Forest Glen'!AB36)+(('Emissions Assumptions'!Z10/907185)*'Forest Glen'!AB37)</f>
        <v>-6.993168067657525E-2</v>
      </c>
      <c r="AC228" s="388">
        <f>((('Emissions Assumptions'!AA9/907185)+('Emissions Assumptions'!AA11/907185))*'Forest Glen'!AC36)+(('Emissions Assumptions'!AA10/907185)*'Forest Glen'!AC37)</f>
        <v>-7.0427073753180858E-2</v>
      </c>
      <c r="AD228" s="357">
        <f t="shared" si="65"/>
        <v>-1.4371583442610247</v>
      </c>
    </row>
    <row r="229" spans="1:30" s="53" customFormat="1" ht="12">
      <c r="A229" s="45"/>
      <c r="B229" s="45"/>
      <c r="C229" s="48" t="s">
        <v>98</v>
      </c>
      <c r="D229" s="209"/>
      <c r="E229" s="219"/>
      <c r="F229" s="71">
        <f>(('Emissions Assumptions'!D4/907185)*F36)+(('Emissions Assumptions'!D5/907185)*F37)</f>
        <v>0</v>
      </c>
      <c r="G229" s="71">
        <f>(('Emissions Assumptions'!E4/907185)*G36)+(('Emissions Assumptions'!E5/907185)*G37)</f>
        <v>0</v>
      </c>
      <c r="H229" s="71">
        <f>(('Emissions Assumptions'!F4/907185)*H36)+(('Emissions Assumptions'!F5/907185)*H37)</f>
        <v>0</v>
      </c>
      <c r="I229" s="71">
        <f>(('Emissions Assumptions'!G4/907185)*I36)+(('Emissions Assumptions'!G5/907185)*I37)</f>
        <v>0</v>
      </c>
      <c r="J229" s="71">
        <f>(('Emissions Assumptions'!H4/907185)*J36)+(('Emissions Assumptions'!H5/907185)*J37)</f>
        <v>-7.2341940848428293E-2</v>
      </c>
      <c r="K229" s="71">
        <f>(('Emissions Assumptions'!I4/907185)*K36)+(('Emissions Assumptions'!I5/907185)*K37)</f>
        <v>-9.0963284467199368E-2</v>
      </c>
      <c r="L229" s="71">
        <f>(('Emissions Assumptions'!J4/907185)*L36)+(('Emissions Assumptions'!J5/907185)*L37)</f>
        <v>-8.4314421718756416E-2</v>
      </c>
      <c r="M229" s="71">
        <f>(('Emissions Assumptions'!K4/907185)*M36)+(('Emissions Assumptions'!K5/907185)*M37)</f>
        <v>-5.0182585687585282E-2</v>
      </c>
      <c r="N229" s="71">
        <f>(('Emissions Assumptions'!L4/907185)*N36)+(('Emissions Assumptions'!L5/907185)*N37)</f>
        <v>-6.9406160866104211E-2</v>
      </c>
      <c r="O229" s="71">
        <f>(('Emissions Assumptions'!M4/907185)*O36)+(('Emissions Assumptions'!M5/907185)*O37)</f>
        <v>-6.1326075858542564E-2</v>
      </c>
      <c r="P229" s="71">
        <f>(('Emissions Assumptions'!N4/907185)*P36)+(('Emissions Assumptions'!N5/907185)*P37)</f>
        <v>-6.0589677436837963E-2</v>
      </c>
      <c r="Q229" s="71">
        <f>(('Emissions Assumptions'!O4/907185)*Q36)+(('Emissions Assumptions'!O5/907185)*Q37)</f>
        <v>-5.984172209313679E-2</v>
      </c>
      <c r="R229" s="71">
        <f>(('Emissions Assumptions'!P4/907185)*R36)+(('Emissions Assumptions'!P5/907185)*R37)</f>
        <v>-5.9082025809388497E-2</v>
      </c>
      <c r="S229" s="71">
        <f>(('Emissions Assumptions'!Q4/907185)*S36)+(('Emissions Assumptions'!Q5/907185)*S37)</f>
        <v>-5.8310401982806029E-2</v>
      </c>
      <c r="T229" s="71">
        <f>(('Emissions Assumptions'!R4/907185)*T36)+(('Emissions Assumptions'!R5/907185)*T37)</f>
        <v>-5.7526661392572807E-2</v>
      </c>
      <c r="U229" s="71">
        <f>(('Emissions Assumptions'!S4/907185)*U36)+(('Emissions Assumptions'!S5/907185)*U37)</f>
        <v>-5.6730612166142634E-2</v>
      </c>
      <c r="V229" s="71">
        <f>(('Emissions Assumptions'!T4/907185)*V36)+(('Emissions Assumptions'!T5/907185)*V37)</f>
        <v>-5.5922059745126915E-2</v>
      </c>
      <c r="W229" s="71">
        <f>(('Emissions Assumptions'!U4/907185)*W36)+(('Emissions Assumptions'!U5/907185)*W37)</f>
        <v>-5.5100806850765224E-2</v>
      </c>
      <c r="X229" s="71">
        <f>(('Emissions Assumptions'!V4/907185)*X36)+(('Emissions Assumptions'!V5/907185)*X37)</f>
        <v>-5.4405173388087771E-2</v>
      </c>
      <c r="Y229" s="71">
        <f>(('Emissions Assumptions'!W4/907185)*Y36)+(('Emissions Assumptions'!W5/907185)*Y37)</f>
        <v>-5.3554989650223227E-2</v>
      </c>
      <c r="Z229" s="71">
        <f>(('Emissions Assumptions'!X4/907185)*Z36)+(('Emissions Assumptions'!X5/907185)*Z37)</f>
        <v>-5.3921752735320946E-2</v>
      </c>
      <c r="AA229" s="71">
        <f>(('Emissions Assumptions'!Y4/907185)*AA36)+(('Emissions Assumptions'!Y5/907185)*AA37)</f>
        <v>-5.4292048060898851E-2</v>
      </c>
      <c r="AB229" s="71">
        <f>(('Emissions Assumptions'!Z4/907185)*AB36)+(('Emissions Assumptions'!Z5/907185)*AB37)</f>
        <v>-5.466591094936174E-2</v>
      </c>
      <c r="AC229" s="388">
        <f>(('Emissions Assumptions'!AA4/907185)*AC36)+(('Emissions Assumptions'!AA5/907185)*AC37)</f>
        <v>-5.5043377076338509E-2</v>
      </c>
      <c r="AD229" s="357">
        <f t="shared" si="65"/>
        <v>-1.2175216887836238</v>
      </c>
    </row>
    <row r="230" spans="1:30" s="53" customFormat="1" ht="12">
      <c r="A230" s="45"/>
      <c r="B230" s="45"/>
      <c r="C230" s="48" t="s">
        <v>99</v>
      </c>
      <c r="D230" s="209"/>
      <c r="E230" s="219"/>
      <c r="F230" s="71">
        <f>(('Emissions Assumptions'!D14/907185)*F36)+(('Emissions Assumptions'!D18/907185)*F37)+(('Emissions Assumptions'!D19/907185)*F36)</f>
        <v>0</v>
      </c>
      <c r="G230" s="71">
        <f>(('Emissions Assumptions'!E14/907185)*G36)+(('Emissions Assumptions'!E18/907185)*G37)+(('Emissions Assumptions'!E19/907185)*G36)</f>
        <v>0</v>
      </c>
      <c r="H230" s="71">
        <f>(('Emissions Assumptions'!F14/907185)*H36)+(('Emissions Assumptions'!F18/907185)*H37)+(('Emissions Assumptions'!F19/907185)*H36)</f>
        <v>0</v>
      </c>
      <c r="I230" s="71">
        <f>(('Emissions Assumptions'!G14/907185)*I36)+(('Emissions Assumptions'!G18/907185)*I37)+(('Emissions Assumptions'!G19/907185)*I36)</f>
        <v>0</v>
      </c>
      <c r="J230" s="71">
        <f>(('Emissions Assumptions'!H14/907185)*J36)+(('Emissions Assumptions'!H18/907185)*J37)+(('Emissions Assumptions'!H19/907185)*J36)</f>
        <v>-0.10137196817206659</v>
      </c>
      <c r="K230" s="71">
        <f>(('Emissions Assumptions'!I14/907185)*K36)+(('Emissions Assumptions'!I18/907185)*K37)+(('Emissions Assumptions'!I19/907185)*K36)</f>
        <v>-0.12725572035765884</v>
      </c>
      <c r="L230" s="71">
        <f>(('Emissions Assumptions'!J14/907185)*L36)+(('Emissions Assumptions'!J18/907185)*L37)+(('Emissions Assumptions'!J19/907185)*L36)</f>
        <v>-0.11772819865681715</v>
      </c>
      <c r="M230" s="71">
        <f>(('Emissions Assumptions'!K14/907185)*M36)+(('Emissions Assumptions'!K18/907185)*M37)+(('Emissions Assumptions'!K19/907185)*M36)</f>
        <v>-6.9314245082892398E-2</v>
      </c>
      <c r="N230" s="71">
        <f>(('Emissions Assumptions'!L14/907185)*N36)+(('Emissions Assumptions'!L18/907185)*N37)+(('Emissions Assumptions'!L19/907185)*N36)</f>
        <v>-9.6376563499115289E-2</v>
      </c>
      <c r="O230" s="71">
        <f>(('Emissions Assumptions'!M14/907185)*O36)+(('Emissions Assumptions'!M18/907185)*O37)+(('Emissions Assumptions'!M19/907185)*O36)</f>
        <v>-8.4812981182501579E-2</v>
      </c>
      <c r="P230" s="71">
        <f>(('Emissions Assumptions'!N14/907185)*P36)+(('Emissions Assumptions'!N18/907185)*P37)+(('Emissions Assumptions'!N19/907185)*P36)</f>
        <v>-8.3102865657937064E-2</v>
      </c>
      <c r="Q230" s="71">
        <f>(('Emissions Assumptions'!O14/907185)*Q36)+(('Emissions Assumptions'!O18/907185)*Q37)+(('Emissions Assumptions'!O19/907185)*Q36)</f>
        <v>-8.1368004386964399E-2</v>
      </c>
      <c r="R230" s="71">
        <f>(('Emissions Assumptions'!P14/907185)*R36)+(('Emissions Assumptions'!P18/907185)*R37)+(('Emissions Assumptions'!P19/907185)*R36)</f>
        <v>-7.9608017765496905E-2</v>
      </c>
      <c r="S230" s="71">
        <f>(('Emissions Assumptions'!Q14/907185)*S36)+(('Emissions Assumptions'!Q18/907185)*S37)+(('Emissions Assumptions'!Q19/907185)*S36)</f>
        <v>-7.7822520948217594E-2</v>
      </c>
      <c r="T230" s="71">
        <f>(('Emissions Assumptions'!R14/907185)*T36)+(('Emissions Assumptions'!R18/907185)*T37)+(('Emissions Assumptions'!R19/907185)*T36)</f>
        <v>-7.6011123781714804E-2</v>
      </c>
      <c r="U230" s="71">
        <f>(('Emissions Assumptions'!S14/907185)*U36)+(('Emissions Assumptions'!S18/907185)*U37)+(('Emissions Assumptions'!S19/907185)*U36)</f>
        <v>-7.4173430736805032E-2</v>
      </c>
      <c r="V230" s="71">
        <f>(('Emissions Assumptions'!T14/907185)*V36)+(('Emissions Assumptions'!T18/907185)*V37)+(('Emissions Assumptions'!T19/907185)*V36)</f>
        <v>-7.2309040840032701E-2</v>
      </c>
      <c r="W230" s="71">
        <f>(('Emissions Assumptions'!U14/907185)*W36)+(('Emissions Assumptions'!U18/907185)*W37)+(('Emissions Assumptions'!U19/907185)*W36)</f>
        <v>-7.0417547604337688E-2</v>
      </c>
      <c r="X230" s="71">
        <f>(('Emissions Assumptions'!V14/907185)*X36)+(('Emissions Assumptions'!V18/907185)*X37)+(('Emissions Assumptions'!V19/907185)*X36)</f>
        <v>-6.8675179904729156E-2</v>
      </c>
      <c r="Y230" s="71">
        <f>(('Emissions Assumptions'!W14/907185)*Y36)+(('Emissions Assumptions'!W18/907185)*Y37)+(('Emissions Assumptions'!W19/907185)*Y36)</f>
        <v>-6.6722128050798649E-2</v>
      </c>
      <c r="Z230" s="71">
        <f>(('Emissions Assumptions'!X14/907185)*Z36)+(('Emissions Assumptions'!X18/907185)*Z37)+(('Emissions Assumptions'!X19/907185)*Z36)</f>
        <v>-6.7177071588306686E-2</v>
      </c>
      <c r="AA230" s="71">
        <f>(('Emissions Assumptions'!Y14/907185)*AA36)+(('Emissions Assumptions'!Y18/907185)*AA37)+(('Emissions Assumptions'!Y19/907185)*AA36)</f>
        <v>-6.7636394285075813E-2</v>
      </c>
      <c r="AB230" s="71">
        <f>(('Emissions Assumptions'!Z14/907185)*AB36)+(('Emissions Assumptions'!Z18/907185)*AB37)+(('Emissions Assumptions'!Z19/907185)*AB36)</f>
        <v>-6.8100139932698658E-2</v>
      </c>
      <c r="AC230" s="388">
        <f>(('Emissions Assumptions'!AA14/907185)*AC36)+(('Emissions Assumptions'!AA18/907185)*AC37)+(('Emissions Assumptions'!AA19/907185)*AC36)</f>
        <v>-6.8568352760683821E-2</v>
      </c>
      <c r="AD230" s="357">
        <f t="shared" si="65"/>
        <v>-1.6185514951948505</v>
      </c>
    </row>
    <row r="231" spans="1:30" s="53" customFormat="1" ht="12">
      <c r="A231" s="45"/>
      <c r="B231" s="45"/>
      <c r="C231" s="48" t="s">
        <v>100</v>
      </c>
      <c r="D231" s="209"/>
      <c r="E231" s="219"/>
      <c r="F231" s="71">
        <f>('Emissions Assumptions'!D21/907185)*F37</f>
        <v>0</v>
      </c>
      <c r="G231" s="71">
        <f>('Emissions Assumptions'!E21/907185)*G37</f>
        <v>0</v>
      </c>
      <c r="H231" s="71">
        <f>('Emissions Assumptions'!F21/907185)*H37</f>
        <v>0</v>
      </c>
      <c r="I231" s="71">
        <f>('Emissions Assumptions'!G21/907185)*I37</f>
        <v>0</v>
      </c>
      <c r="J231" s="71">
        <f>('Emissions Assumptions'!H21/907185)*J37</f>
        <v>-86.240771072118903</v>
      </c>
      <c r="K231" s="71">
        <f>('Emissions Assumptions'!I21/907185)*K37</f>
        <v>-115.18848111506628</v>
      </c>
      <c r="L231" s="71">
        <f>('Emissions Assumptions'!J21/907185)*L37</f>
        <v>-114.26896973096648</v>
      </c>
      <c r="M231" s="71">
        <f>('Emissions Assumptions'!K21/907185)*M37</f>
        <v>-72.219246467293246</v>
      </c>
      <c r="N231" s="71">
        <f>('Emissions Assumptions'!L21/907185)*N37</f>
        <v>-110.89691702616628</v>
      </c>
      <c r="O231" s="71">
        <f>('Emissions Assumptions'!M21/907185)*O37</f>
        <v>-108.51193579287676</v>
      </c>
      <c r="P231" s="71">
        <f>('Emissions Assumptions'!N21/907185)*P37</f>
        <v>-107.83368444763794</v>
      </c>
      <c r="Q231" s="71">
        <f>('Emissions Assumptions'!O21/907185)*Q37</f>
        <v>-107.14389020783676</v>
      </c>
      <c r="R231" s="71">
        <f>('Emissions Assumptions'!P21/907185)*R37</f>
        <v>-106.44235718789649</v>
      </c>
      <c r="S231" s="71">
        <f>('Emissions Assumptions'!Q21/907185)*S37</f>
        <v>-105.7288866623531</v>
      </c>
      <c r="T231" s="71">
        <f>('Emissions Assumptions'!R21/907185)*T37</f>
        <v>-105.0032770286459</v>
      </c>
      <c r="U231" s="71">
        <f>('Emissions Assumptions'!S21/907185)*U37</f>
        <v>-104.26532376944844</v>
      </c>
      <c r="V231" s="71">
        <f>('Emissions Assumptions'!T21/907185)*V37</f>
        <v>-103.51481941453316</v>
      </c>
      <c r="W231" s="71">
        <f>('Emissions Assumptions'!U21/907185)*W37</f>
        <v>-102.75155350216519</v>
      </c>
      <c r="X231" s="71">
        <f>('Emissions Assumptions'!V21/907185)*X37</f>
        <v>-102.24300117412706</v>
      </c>
      <c r="Y231" s="71">
        <f>('Emissions Assumptions'!W21/907185)*Y37</f>
        <v>-101.4499108579472</v>
      </c>
      <c r="Z231" s="71">
        <f>('Emissions Assumptions'!X21/907185)*Z37</f>
        <v>-102.13574289884551</v>
      </c>
      <c r="AA231" s="71">
        <f>('Emissions Assumptions'!Y21/907185)*AA37</f>
        <v>-102.82816962370043</v>
      </c>
      <c r="AB231" s="71">
        <f>('Emissions Assumptions'!Z21/907185)*AB37</f>
        <v>-103.52725697935158</v>
      </c>
      <c r="AC231" s="388">
        <f>('Emissions Assumptions'!AA21/907185)*AC37</f>
        <v>-104.23307157210699</v>
      </c>
      <c r="AD231" s="357">
        <f t="shared" si="65"/>
        <v>-2066.4272665310841</v>
      </c>
    </row>
    <row r="232" spans="1:30" s="53" customFormat="1" ht="12">
      <c r="A232" s="45"/>
      <c r="B232" s="45"/>
      <c r="C232" s="224" t="s">
        <v>647</v>
      </c>
      <c r="D232" s="209"/>
      <c r="E232" s="219"/>
      <c r="F232" s="71">
        <f>('Emissions Assumptions'!D25/907185)*F37</f>
        <v>0</v>
      </c>
      <c r="G232" s="71">
        <f>('Emissions Assumptions'!E25/907185)*G37</f>
        <v>0</v>
      </c>
      <c r="H232" s="71">
        <f>('Emissions Assumptions'!F25/907185)*H37</f>
        <v>0</v>
      </c>
      <c r="I232" s="71">
        <f>('Emissions Assumptions'!G25/907185)*I37</f>
        <v>0</v>
      </c>
      <c r="J232" s="71">
        <f>('Emissions Assumptions'!H25/907185)*J37</f>
        <v>-1.8079019609416218E-3</v>
      </c>
      <c r="K232" s="71">
        <f>('Emissions Assumptions'!I25/907185)*K37</f>
        <v>-2.5056845647554536E-3</v>
      </c>
      <c r="L232" s="71">
        <f>('Emissions Assumptions'!J25/907185)*L37</f>
        <v>-2.5513358730910457E-3</v>
      </c>
      <c r="M232" s="71">
        <f>('Emissions Assumptions'!K25/907185)*M37</f>
        <v>-1.6562173695584962E-3</v>
      </c>
      <c r="N232" s="71">
        <f>('Emissions Assumptions'!L25/907185)*N37</f>
        <v>-2.6141389510857052E-3</v>
      </c>
      <c r="O232" s="71">
        <f>('Emissions Assumptions'!M25/907185)*O37</f>
        <v>-2.6312939256133835E-3</v>
      </c>
      <c r="P232" s="71">
        <f>('Emissions Assumptions'!N25/907185)*P37</f>
        <v>-2.6486131777198607E-3</v>
      </c>
      <c r="Q232" s="71">
        <f>('Emissions Assumptions'!O25/907185)*Q37</f>
        <v>-2.6660983501809242E-3</v>
      </c>
      <c r="R232" s="71">
        <f>('Emissions Assumptions'!P25/907185)*R37</f>
        <v>-2.6837511022001193E-3</v>
      </c>
      <c r="S232" s="71">
        <f>('Emissions Assumptions'!Q25/907185)*S37</f>
        <v>-2.7015731095730291E-3</v>
      </c>
      <c r="T232" s="71">
        <f>('Emissions Assumptions'!R25/907185)*T37</f>
        <v>-2.7195660648531884E-3</v>
      </c>
      <c r="U232" s="71">
        <f>('Emissions Assumptions'!S25/907185)*U37</f>
        <v>-2.7377316775196721E-3</v>
      </c>
      <c r="V232" s="71">
        <f>('Emissions Assumptions'!T25/907185)*V37</f>
        <v>-2.756071674146343E-3</v>
      </c>
      <c r="W232" s="71">
        <f>('Emissions Assumptions'!U25/907185)*W37</f>
        <v>-2.774587798572801E-3</v>
      </c>
      <c r="X232" s="71">
        <f>('Emissions Assumptions'!V25/907185)*X37</f>
        <v>-2.8006142710254723E-3</v>
      </c>
      <c r="Y232" s="71">
        <f>('Emissions Assumptions'!W25/907185)*Y37</f>
        <v>-2.8519014041334507E-3</v>
      </c>
      <c r="Z232" s="71">
        <f>('Emissions Assumptions'!X25/907185)*Z37</f>
        <v>-2.8711811190577576E-3</v>
      </c>
      <c r="AA232" s="71">
        <f>('Emissions Assumptions'!Y25/907185)*AA37</f>
        <v>-2.8906462199353561E-3</v>
      </c>
      <c r="AB232" s="71">
        <f>('Emissions Assumptions'!Z25/907185)*AB37</f>
        <v>-2.9102985606257793E-3</v>
      </c>
      <c r="AC232" s="388">
        <f>('Emissions Assumptions'!AA25/907185)*AC37</f>
        <v>-2.930140013527158E-3</v>
      </c>
      <c r="AD232" s="357">
        <f t="shared" si="65"/>
        <v>-5.2709347188116623E-2</v>
      </c>
    </row>
    <row r="233" spans="1:30" s="53" customFormat="1" ht="12">
      <c r="A233" s="45"/>
      <c r="B233" s="45"/>
      <c r="C233" s="70" t="s">
        <v>115</v>
      </c>
      <c r="D233" s="209"/>
      <c r="E233" s="217"/>
      <c r="F233" s="45"/>
      <c r="G233" s="45"/>
      <c r="H233" s="45"/>
      <c r="I233" s="45"/>
      <c r="J233" s="45"/>
      <c r="K233" s="45"/>
      <c r="L233" s="45"/>
      <c r="M233" s="45"/>
      <c r="N233" s="45"/>
      <c r="O233" s="45"/>
      <c r="P233" s="45"/>
      <c r="Q233" s="45"/>
      <c r="R233" s="45"/>
      <c r="S233" s="45"/>
      <c r="T233" s="45"/>
      <c r="U233" s="45"/>
      <c r="V233" s="45"/>
      <c r="W233" s="45"/>
      <c r="X233" s="45"/>
      <c r="Y233" s="45"/>
      <c r="Z233" s="45"/>
      <c r="AA233" s="45"/>
      <c r="AB233" s="45"/>
      <c r="AC233" s="263"/>
      <c r="AD233" s="338"/>
    </row>
    <row r="234" spans="1:30" s="53" customFormat="1" ht="12">
      <c r="A234" s="45"/>
      <c r="B234" s="45"/>
      <c r="C234" s="48" t="s">
        <v>43</v>
      </c>
      <c r="D234" s="209"/>
      <c r="E234" s="220"/>
      <c r="F234" s="56">
        <f>-(F228*'Emissions Assumptions'!D12)</f>
        <v>0</v>
      </c>
      <c r="G234" s="56">
        <f>-(G228*'Emissions Assumptions'!E12)</f>
        <v>0</v>
      </c>
      <c r="H234" s="56">
        <f>-(H228*'Emissions Assumptions'!F12)</f>
        <v>0</v>
      </c>
      <c r="I234" s="56">
        <f>-(I228*'Emissions Assumptions'!G12)</f>
        <v>0</v>
      </c>
      <c r="J234" s="56">
        <f>-(J228*'Emissions Assumptions'!H12)</f>
        <v>92.278169007877452</v>
      </c>
      <c r="K234" s="56">
        <f>-(K228*'Emissions Assumptions'!I12)</f>
        <v>119.05396742269517</v>
      </c>
      <c r="L234" s="56">
        <f>-(L228*'Emissions Assumptions'!J12)</f>
        <v>113.67744876197068</v>
      </c>
      <c r="M234" s="56">
        <f>-(M228*'Emissions Assumptions'!K12)</f>
        <v>72.237848135292808</v>
      </c>
      <c r="N234" s="56">
        <f>-(N228*'Emissions Assumptions'!L12)</f>
        <v>101.15052778491571</v>
      </c>
      <c r="O234" s="56">
        <f>-(O228*'Emissions Assumptions'!M12)</f>
        <v>94.150728774456155</v>
      </c>
      <c r="P234" s="56">
        <f>-(P228*'Emissions Assumptions'!N12)</f>
        <v>93.661375559872297</v>
      </c>
      <c r="Q234" s="56">
        <f>-(Q228*'Emissions Assumptions'!O12)</f>
        <v>93.16239657846954</v>
      </c>
      <c r="R234" s="56">
        <f>-(R228*'Emissions Assumptions'!P12)</f>
        <v>92.653624617889776</v>
      </c>
      <c r="S234" s="56">
        <f>-(S228*'Emissions Assumptions'!Q12)</f>
        <v>92.134890028618628</v>
      </c>
      <c r="T234" s="56">
        <f>-(T228*'Emissions Assumptions'!R12)</f>
        <v>91.606020691963451</v>
      </c>
      <c r="U234" s="56">
        <f>-(U228*'Emissions Assumptions'!S12)</f>
        <v>91.066841987635044</v>
      </c>
      <c r="V234" s="56">
        <f>-(V228*'Emissions Assumptions'!T12)</f>
        <v>90.517176760927143</v>
      </c>
      <c r="W234" s="56">
        <f>-(W228*'Emissions Assumptions'!U12)</f>
        <v>89.956845289490388</v>
      </c>
      <c r="X234" s="56">
        <f>-(X228*'Emissions Assumptions'!V12)</f>
        <v>89.600758297484489</v>
      </c>
      <c r="Y234" s="56">
        <f>-(Y228*'Emissions Assumptions'!W12)</f>
        <v>89.01590613398794</v>
      </c>
      <c r="Z234" s="56">
        <f>-(Z228*'Emissions Assumptions'!X12)</f>
        <v>89.641600757306449</v>
      </c>
      <c r="AA234" s="56">
        <f>-(AA228*'Emissions Assumptions'!Y12)</f>
        <v>90.273340189795817</v>
      </c>
      <c r="AB234" s="56">
        <f>-(AB228*'Emissions Assumptions'!Z12)</f>
        <v>90.911184879547832</v>
      </c>
      <c r="AC234" s="389">
        <f>-(AC228*'Emissions Assumptions'!AA12)</f>
        <v>91.555195879135113</v>
      </c>
      <c r="AD234" s="358">
        <f t="shared" si="65"/>
        <v>1868.3058475393323</v>
      </c>
    </row>
    <row r="235" spans="1:30" ht="13.5">
      <c r="A235" s="45"/>
      <c r="B235" s="45"/>
      <c r="C235" s="48" t="s">
        <v>119</v>
      </c>
      <c r="D235" s="209"/>
      <c r="E235" s="220"/>
      <c r="F235" s="56">
        <f>-(F229*'Emissions Assumptions'!D6)</f>
        <v>0</v>
      </c>
      <c r="G235" s="56">
        <f>-(G229*'Emissions Assumptions'!E6)</f>
        <v>0</v>
      </c>
      <c r="H235" s="56">
        <f>-(H229*'Emissions Assumptions'!F6)</f>
        <v>0</v>
      </c>
      <c r="I235" s="56">
        <f>-(I229*'Emissions Assumptions'!G6)</f>
        <v>0</v>
      </c>
      <c r="J235" s="56">
        <f>-(J229*'Emissions Assumptions'!H6)</f>
        <v>383.41228649666994</v>
      </c>
      <c r="K235" s="56">
        <f>-(K229*'Emissions Assumptions'!I6)</f>
        <v>482.10540767615663</v>
      </c>
      <c r="L235" s="56">
        <f>-(L229*'Emissions Assumptions'!J6)</f>
        <v>446.866435109409</v>
      </c>
      <c r="M235" s="56">
        <f>-(M229*'Emissions Assumptions'!K6)</f>
        <v>265.967704144202</v>
      </c>
      <c r="N235" s="56">
        <f>-(N229*'Emissions Assumptions'!L6)</f>
        <v>367.85265259035231</v>
      </c>
      <c r="O235" s="56">
        <f>-(O229*'Emissions Assumptions'!M6)</f>
        <v>325.02820205027558</v>
      </c>
      <c r="P235" s="56">
        <f>-(P229*'Emissions Assumptions'!N6)</f>
        <v>321.12529041524118</v>
      </c>
      <c r="Q235" s="56">
        <f>-(Q229*'Emissions Assumptions'!O6)</f>
        <v>317.161127093625</v>
      </c>
      <c r="R235" s="56">
        <f>-(R229*'Emissions Assumptions'!P6)</f>
        <v>313.13473678975902</v>
      </c>
      <c r="S235" s="56">
        <f>-(S229*'Emissions Assumptions'!Q6)</f>
        <v>309.04513050887198</v>
      </c>
      <c r="T235" s="56">
        <f>-(T229*'Emissions Assumptions'!R6)</f>
        <v>304.89130538063586</v>
      </c>
      <c r="U235" s="56">
        <f>-(U229*'Emissions Assumptions'!S6)</f>
        <v>300.67224448055595</v>
      </c>
      <c r="V235" s="56">
        <f>-(V229*'Emissions Assumptions'!T6)</f>
        <v>296.38691664917263</v>
      </c>
      <c r="W235" s="56">
        <f>-(W229*'Emissions Assumptions'!U6)</f>
        <v>292.03427630905571</v>
      </c>
      <c r="X235" s="56">
        <f>-(X229*'Emissions Assumptions'!V6)</f>
        <v>288.34741895686517</v>
      </c>
      <c r="Y235" s="56">
        <f>-(Y229*'Emissions Assumptions'!W6)</f>
        <v>283.8414451461831</v>
      </c>
      <c r="Z235" s="56">
        <f>-(Z229*'Emissions Assumptions'!X6)</f>
        <v>285.78528949720101</v>
      </c>
      <c r="AA235" s="56">
        <f>-(AA229*'Emissions Assumptions'!Y6)</f>
        <v>287.74785472276392</v>
      </c>
      <c r="AB235" s="56">
        <f>-(AB229*'Emissions Assumptions'!Z6)</f>
        <v>289.72932803161723</v>
      </c>
      <c r="AC235" s="389">
        <f>-(AC229*'Emissions Assumptions'!AA6)</f>
        <v>291.72989850459408</v>
      </c>
      <c r="AD235" s="358">
        <f t="shared" si="65"/>
        <v>6452.8649505532067</v>
      </c>
    </row>
    <row r="236" spans="1:30" ht="13.5">
      <c r="A236" s="45"/>
      <c r="B236" s="45"/>
      <c r="C236" s="48" t="s">
        <v>117</v>
      </c>
      <c r="D236" s="209"/>
      <c r="E236" s="220"/>
      <c r="F236" s="56">
        <f>-(F230*'Emissions Assumptions'!D15)</f>
        <v>0</v>
      </c>
      <c r="G236" s="56">
        <f>-(G230*'Emissions Assumptions'!E15)</f>
        <v>0</v>
      </c>
      <c r="H236" s="56">
        <f>-(H230*'Emissions Assumptions'!F15)</f>
        <v>0</v>
      </c>
      <c r="I236" s="56">
        <f>-(I230*'Emissions Assumptions'!G15)</f>
        <v>0</v>
      </c>
      <c r="J236" s="56">
        <f>-(J230*'Emissions Assumptions'!H15)</f>
        <v>29397.870769899309</v>
      </c>
      <c r="K236" s="56">
        <f>-(K230*'Emissions Assumptions'!I15)</f>
        <v>36904.158903721065</v>
      </c>
      <c r="L236" s="56">
        <f>-(L230*'Emissions Assumptions'!J15)</f>
        <v>34141.177610476974</v>
      </c>
      <c r="M236" s="56">
        <f>-(M230*'Emissions Assumptions'!K15)</f>
        <v>20101.131074038796</v>
      </c>
      <c r="N236" s="56">
        <f>-(N230*'Emissions Assumptions'!L15)</f>
        <v>27949.203414743435</v>
      </c>
      <c r="O236" s="56">
        <f>-(O230*'Emissions Assumptions'!M15)</f>
        <v>24595.764542925459</v>
      </c>
      <c r="P236" s="56">
        <f>-(P230*'Emissions Assumptions'!N15)</f>
        <v>24099.83104080175</v>
      </c>
      <c r="Q236" s="56">
        <f>-(Q230*'Emissions Assumptions'!O15)</f>
        <v>23596.721272219675</v>
      </c>
      <c r="R236" s="56">
        <f>-(R230*'Emissions Assumptions'!P15)</f>
        <v>23086.325151994104</v>
      </c>
      <c r="S236" s="56">
        <f>-(S230*'Emissions Assumptions'!Q15)</f>
        <v>22568.531074983101</v>
      </c>
      <c r="T236" s="56">
        <f>-(T230*'Emissions Assumptions'!R15)</f>
        <v>22043.225896697291</v>
      </c>
      <c r="U236" s="56">
        <f>-(U230*'Emissions Assumptions'!S15)</f>
        <v>21510.294913673461</v>
      </c>
      <c r="V236" s="56">
        <f>-(V230*'Emissions Assumptions'!T15)</f>
        <v>20969.621843609482</v>
      </c>
      <c r="W236" s="56">
        <f>-(W230*'Emissions Assumptions'!U15)</f>
        <v>20421.088805257928</v>
      </c>
      <c r="X236" s="56">
        <f>-(X230*'Emissions Assumptions'!V15)</f>
        <v>19915.802172371456</v>
      </c>
      <c r="Y236" s="56">
        <f>-(Y230*'Emissions Assumptions'!W15)</f>
        <v>19349.417134731608</v>
      </c>
      <c r="Z236" s="56">
        <f>-(Z230*'Emissions Assumptions'!X15)</f>
        <v>19481.350760608941</v>
      </c>
      <c r="AA236" s="56">
        <f>-(AA230*'Emissions Assumptions'!Y15)</f>
        <v>19614.554342671985</v>
      </c>
      <c r="AB236" s="56">
        <f>-(AB230*'Emissions Assumptions'!Z15)</f>
        <v>19749.040580482611</v>
      </c>
      <c r="AC236" s="389">
        <f>-(AC230*'Emissions Assumptions'!AA15)</f>
        <v>19884.822300598309</v>
      </c>
      <c r="AD236" s="358">
        <f t="shared" si="65"/>
        <v>469379.93360650691</v>
      </c>
    </row>
    <row r="237" spans="1:30" s="53" customFormat="1" ht="13.5">
      <c r="A237" s="45"/>
      <c r="B237" s="45"/>
      <c r="C237" s="48" t="s">
        <v>118</v>
      </c>
      <c r="D237" s="209"/>
      <c r="E237" s="220"/>
      <c r="F237" s="56">
        <f>-(F231*'Emissions Assumptions'!D22)</f>
        <v>0</v>
      </c>
      <c r="G237" s="56">
        <f>-(G231*'Emissions Assumptions'!E22)</f>
        <v>0</v>
      </c>
      <c r="H237" s="56">
        <f>-(H231*'Emissions Assumptions'!F22)</f>
        <v>0</v>
      </c>
      <c r="I237" s="56">
        <f>-(I231*'Emissions Assumptions'!G22)</f>
        <v>0</v>
      </c>
      <c r="J237" s="56">
        <f>-(J231*'Emissions Assumptions'!H22)</f>
        <v>2052.5303515164301</v>
      </c>
      <c r="K237" s="56">
        <f>-(K231*'Emissions Assumptions'!I22)</f>
        <v>2799.0800910961107</v>
      </c>
      <c r="L237" s="56">
        <f>-(L231*'Emissions Assumptions'!J22)</f>
        <v>2833.8704493279688</v>
      </c>
      <c r="M237" s="56">
        <f>-(M231*'Emissions Assumptions'!K22)</f>
        <v>1827.1469356225191</v>
      </c>
      <c r="N237" s="56">
        <f>-(N231*'Emissions Assumptions'!L22)</f>
        <v>2861.1404592750901</v>
      </c>
      <c r="O237" s="56">
        <f>-(O231*'Emissions Assumptions'!M22)</f>
        <v>2853.8639113526588</v>
      </c>
      <c r="P237" s="56">
        <f>-(P231*'Emissions Assumptions'!N22)</f>
        <v>2911.5094800862244</v>
      </c>
      <c r="Q237" s="56">
        <f>-(Q231*'Emissions Assumptions'!O22)</f>
        <v>2957.1713697362948</v>
      </c>
      <c r="R237" s="56">
        <f>-(R231*'Emissions Assumptions'!P22)</f>
        <v>3012.3187084174706</v>
      </c>
      <c r="S237" s="56">
        <f>-(S231*'Emissions Assumptions'!Q22)</f>
        <v>3055.5648245420048</v>
      </c>
      <c r="T237" s="56">
        <f>-(T231*'Emissions Assumptions'!R22)</f>
        <v>3108.0970000479188</v>
      </c>
      <c r="U237" s="56">
        <f>-(U231*'Emissions Assumptions'!S22)</f>
        <v>3148.8127778373428</v>
      </c>
      <c r="V237" s="56">
        <f>-(V231*'Emissions Assumptions'!T22)</f>
        <v>3198.6079199090746</v>
      </c>
      <c r="W237" s="56">
        <f>-(W231*'Emissions Assumptions'!U22)</f>
        <v>3236.6739353182038</v>
      </c>
      <c r="X237" s="56">
        <f>-(X231*'Emissions Assumptions'!V22)</f>
        <v>3282.0003376894788</v>
      </c>
      <c r="Y237" s="56">
        <f>-(Y231*'Emissions Assumptions'!W22)</f>
        <v>3327.557076140668</v>
      </c>
      <c r="Z237" s="56">
        <f>-(Z231*'Emissions Assumptions'!X22)</f>
        <v>3411.33381282144</v>
      </c>
      <c r="AA237" s="56">
        <f>-(AA231*'Emissions Assumptions'!Y22)</f>
        <v>3506.4405841681851</v>
      </c>
      <c r="AB237" s="56">
        <f>-(AB231*'Emissions Assumptions'!Z22)</f>
        <v>3592.3958171835002</v>
      </c>
      <c r="AC237" s="389">
        <f>-(AC231*'Emissions Assumptions'!AA22)</f>
        <v>3689.8507336525872</v>
      </c>
      <c r="AD237" s="358">
        <f t="shared" si="65"/>
        <v>60665.966575741179</v>
      </c>
    </row>
    <row r="238" spans="1:30" s="53" customFormat="1" ht="12">
      <c r="A238" s="45"/>
      <c r="B238" s="45"/>
      <c r="C238" s="224" t="s">
        <v>645</v>
      </c>
      <c r="D238" s="209"/>
      <c r="E238" s="220"/>
      <c r="F238" s="56">
        <f>-(F232*'Emissions Assumptions'!D26)</f>
        <v>0</v>
      </c>
      <c r="G238" s="56">
        <f>-(G232*'Emissions Assumptions'!E26)</f>
        <v>0</v>
      </c>
      <c r="H238" s="56">
        <f>-(H232*'Emissions Assumptions'!F26)</f>
        <v>0</v>
      </c>
      <c r="I238" s="56">
        <f>-(I232*'Emissions Assumptions'!G26)</f>
        <v>0</v>
      </c>
      <c r="J238" s="56">
        <f>-(J232*'Emissions Assumptions'!H26)</f>
        <v>56.044960789190277</v>
      </c>
      <c r="K238" s="56">
        <f>-(K232*'Emissions Assumptions'!I26)</f>
        <v>77.676221507419058</v>
      </c>
      <c r="L238" s="56">
        <f>-(L232*'Emissions Assumptions'!J26)</f>
        <v>79.091412065822411</v>
      </c>
      <c r="M238" s="56">
        <f>-(M232*'Emissions Assumptions'!K26)</f>
        <v>51.342738456313384</v>
      </c>
      <c r="N238" s="56">
        <f>-(N232*'Emissions Assumptions'!L26)</f>
        <v>81.038307483656865</v>
      </c>
      <c r="O238" s="56">
        <f>-(O232*'Emissions Assumptions'!M26)</f>
        <v>81.570111694014884</v>
      </c>
      <c r="P238" s="56">
        <f>-(P232*'Emissions Assumptions'!N26)</f>
        <v>82.107008509315676</v>
      </c>
      <c r="Q238" s="56">
        <f>-(Q232*'Emissions Assumptions'!O26)</f>
        <v>82.649048855608655</v>
      </c>
      <c r="R238" s="56">
        <f>-(R232*'Emissions Assumptions'!P26)</f>
        <v>83.196284168203704</v>
      </c>
      <c r="S238" s="56">
        <f>-(S232*'Emissions Assumptions'!Q26)</f>
        <v>83.748766396763898</v>
      </c>
      <c r="T238" s="56">
        <f>-(T232*'Emissions Assumptions'!R26)</f>
        <v>84.306548010448836</v>
      </c>
      <c r="U238" s="56">
        <f>-(U232*'Emissions Assumptions'!S26)</f>
        <v>84.86968200310983</v>
      </c>
      <c r="V238" s="56">
        <f>-(V232*'Emissions Assumptions'!T26)</f>
        <v>85.438221898536639</v>
      </c>
      <c r="W238" s="56">
        <f>-(W232*'Emissions Assumptions'!U26)</f>
        <v>86.012221755756826</v>
      </c>
      <c r="X238" s="56">
        <f>-(X232*'Emissions Assumptions'!V26)</f>
        <v>86.819042401789645</v>
      </c>
      <c r="Y238" s="56">
        <f>-(Y232*'Emissions Assumptions'!W26)</f>
        <v>88.408943528136973</v>
      </c>
      <c r="Z238" s="56">
        <f>-(Z232*'Emissions Assumptions'!X26)</f>
        <v>89.006614690790485</v>
      </c>
      <c r="AA238" s="56">
        <f>-(AA232*'Emissions Assumptions'!Y26)</f>
        <v>89.610032817996043</v>
      </c>
      <c r="AB238" s="56">
        <f>-(AB232*'Emissions Assumptions'!Z26)</f>
        <v>90.219255379399158</v>
      </c>
      <c r="AC238" s="266">
        <f>-(AC232*'Emissions Assumptions'!AA26)</f>
        <v>90.834340419341899</v>
      </c>
      <c r="AD238" s="358">
        <f t="shared" si="65"/>
        <v>1633.9897628316148</v>
      </c>
    </row>
    <row r="239" spans="1:30" s="5" customFormat="1" ht="12">
      <c r="A239" s="58"/>
      <c r="B239" s="58"/>
      <c r="C239" s="62" t="s">
        <v>591</v>
      </c>
      <c r="D239" s="212"/>
      <c r="E239" s="220"/>
      <c r="F239" s="83">
        <f>SUM(F234:F238)</f>
        <v>0</v>
      </c>
      <c r="G239" s="83">
        <f t="shared" ref="G239:AC239" si="77">SUM(G234:G238)</f>
        <v>0</v>
      </c>
      <c r="H239" s="83">
        <f t="shared" si="77"/>
        <v>0</v>
      </c>
      <c r="I239" s="83">
        <f t="shared" si="77"/>
        <v>0</v>
      </c>
      <c r="J239" s="83">
        <f t="shared" si="77"/>
        <v>31982.136537709477</v>
      </c>
      <c r="K239" s="83">
        <f t="shared" si="77"/>
        <v>40382.07459142345</v>
      </c>
      <c r="L239" s="83">
        <f t="shared" si="77"/>
        <v>37614.683355742141</v>
      </c>
      <c r="M239" s="83">
        <f t="shared" si="77"/>
        <v>22317.826300397126</v>
      </c>
      <c r="N239" s="83">
        <f t="shared" si="77"/>
        <v>31360.385361877452</v>
      </c>
      <c r="O239" s="83">
        <f t="shared" si="77"/>
        <v>27950.377496796864</v>
      </c>
      <c r="P239" s="83">
        <f t="shared" si="77"/>
        <v>27508.234195372403</v>
      </c>
      <c r="Q239" s="83">
        <f t="shared" si="77"/>
        <v>27046.865214483671</v>
      </c>
      <c r="R239" s="83">
        <f t="shared" si="77"/>
        <v>26587.628505987428</v>
      </c>
      <c r="S239" s="83">
        <f t="shared" si="77"/>
        <v>26109.024686459357</v>
      </c>
      <c r="T239" s="83">
        <f t="shared" si="77"/>
        <v>25632.126770828258</v>
      </c>
      <c r="U239" s="83">
        <f t="shared" si="77"/>
        <v>25135.716459982104</v>
      </c>
      <c r="V239" s="83">
        <f t="shared" si="77"/>
        <v>24640.572078827194</v>
      </c>
      <c r="W239" s="83">
        <f t="shared" si="77"/>
        <v>24125.766083930437</v>
      </c>
      <c r="X239" s="83">
        <f t="shared" si="77"/>
        <v>23662.569729717074</v>
      </c>
      <c r="Y239" s="83">
        <f t="shared" si="77"/>
        <v>23138.240505680584</v>
      </c>
      <c r="Z239" s="83">
        <f t="shared" si="77"/>
        <v>23357.118078375679</v>
      </c>
      <c r="AA239" s="83">
        <f t="shared" si="77"/>
        <v>23588.626154570724</v>
      </c>
      <c r="AB239" s="83">
        <f t="shared" si="77"/>
        <v>23812.296165956675</v>
      </c>
      <c r="AC239" s="272">
        <f t="shared" si="77"/>
        <v>24048.792469053966</v>
      </c>
      <c r="AD239" s="355">
        <f t="shared" si="65"/>
        <v>540001.06074317207</v>
      </c>
    </row>
    <row r="240" spans="1:30" s="53" customFormat="1" ht="12">
      <c r="A240" s="45"/>
      <c r="B240" s="45"/>
      <c r="D240" s="209"/>
      <c r="E240" s="217"/>
      <c r="F240" s="45"/>
      <c r="G240" s="57"/>
      <c r="AC240" s="263"/>
      <c r="AD240" s="338"/>
    </row>
    <row r="241" spans="1:30" s="53" customFormat="1" ht="12">
      <c r="A241" s="45"/>
      <c r="B241" s="45"/>
      <c r="C241" s="64" t="s">
        <v>91</v>
      </c>
      <c r="D241" s="209"/>
      <c r="E241" s="217"/>
      <c r="F241" s="45"/>
      <c r="G241" s="57"/>
      <c r="AC241" s="263"/>
      <c r="AD241" s="338"/>
    </row>
    <row r="242" spans="1:30" s="53" customFormat="1" ht="24">
      <c r="A242" s="45"/>
      <c r="B242" s="45"/>
      <c r="C242" s="203" t="s">
        <v>132</v>
      </c>
      <c r="D242" s="259">
        <f>'Price Assumptions'!$B$22</f>
        <v>0.2</v>
      </c>
      <c r="E242" s="217"/>
      <c r="G242" s="96"/>
      <c r="H242" s="96"/>
      <c r="I242" s="96"/>
      <c r="J242" s="96"/>
      <c r="K242" s="96"/>
      <c r="L242" s="96"/>
      <c r="M242" s="96"/>
      <c r="N242" s="96"/>
      <c r="O242" s="96"/>
      <c r="P242" s="96"/>
      <c r="Q242" s="96"/>
      <c r="R242" s="96"/>
      <c r="S242" s="96"/>
      <c r="T242" s="96"/>
      <c r="U242" s="96"/>
      <c r="V242" s="96"/>
      <c r="W242" s="96"/>
      <c r="X242" s="96"/>
      <c r="Y242" s="96"/>
      <c r="AC242" s="263"/>
      <c r="AD242" s="338"/>
    </row>
    <row r="243" spans="1:30" s="53" customFormat="1" ht="24">
      <c r="A243" s="45"/>
      <c r="B243" s="45"/>
      <c r="C243" s="283" t="s">
        <v>503</v>
      </c>
      <c r="D243" s="284">
        <f>'Price Assumptions'!$B$21</f>
        <v>5.4413625171743009E-2</v>
      </c>
      <c r="E243" s="217"/>
      <c r="G243" s="95"/>
      <c r="H243" s="95"/>
      <c r="I243" s="95"/>
      <c r="J243" s="95"/>
      <c r="K243" s="95"/>
      <c r="L243" s="95"/>
      <c r="M243" s="95"/>
      <c r="N243" s="95"/>
      <c r="O243" s="95"/>
      <c r="P243" s="95"/>
      <c r="Q243" s="95"/>
      <c r="R243" s="95"/>
      <c r="S243" s="95"/>
      <c r="T243" s="95"/>
      <c r="U243" s="95"/>
      <c r="V243" s="95"/>
      <c r="W243" s="95"/>
      <c r="X243" s="95"/>
      <c r="Y243" s="95"/>
      <c r="AC243" s="263"/>
      <c r="AD243" s="338"/>
    </row>
    <row r="244" spans="1:30" s="5" customFormat="1" ht="24.75" customHeight="1">
      <c r="A244" s="58"/>
      <c r="B244" s="58"/>
      <c r="C244" s="87" t="s">
        <v>504</v>
      </c>
      <c r="D244" s="212"/>
      <c r="E244" s="220"/>
      <c r="F244" s="83">
        <f>$D$243*$D$242*(F16+F17+F20+F21+F24+F25+F26)</f>
        <v>0</v>
      </c>
      <c r="G244" s="83">
        <f t="shared" ref="G244:AC244" si="78">$D$243*$D$242*(G16+G17+G20+G21+G24+G25+G26)</f>
        <v>0</v>
      </c>
      <c r="H244" s="83">
        <f t="shared" si="78"/>
        <v>0</v>
      </c>
      <c r="I244" s="83">
        <f t="shared" si="78"/>
        <v>0</v>
      </c>
      <c r="J244" s="83">
        <f t="shared" si="78"/>
        <v>591.87408342369952</v>
      </c>
      <c r="K244" s="83">
        <f t="shared" si="78"/>
        <v>808.181587807847</v>
      </c>
      <c r="L244" s="83">
        <f t="shared" si="78"/>
        <v>816.39444990916354</v>
      </c>
      <c r="M244" s="83">
        <f t="shared" si="78"/>
        <v>818.70025038334256</v>
      </c>
      <c r="N244" s="83">
        <f t="shared" si="78"/>
        <v>832.87728996532553</v>
      </c>
      <c r="O244" s="83">
        <f t="shared" si="78"/>
        <v>841.14888071063797</v>
      </c>
      <c r="P244" s="83">
        <f t="shared" si="78"/>
        <v>849.50314108931684</v>
      </c>
      <c r="Q244" s="83">
        <f t="shared" si="78"/>
        <v>857.94089779769592</v>
      </c>
      <c r="R244" s="83">
        <f t="shared" si="78"/>
        <v>866.46298579907182</v>
      </c>
      <c r="S244" s="83">
        <f t="shared" si="78"/>
        <v>875.07024840637473</v>
      </c>
      <c r="T244" s="83">
        <f t="shared" si="78"/>
        <v>883.76353736566432</v>
      </c>
      <c r="U244" s="83">
        <f t="shared" si="78"/>
        <v>892.54371294045984</v>
      </c>
      <c r="V244" s="83">
        <f t="shared" si="78"/>
        <v>901.41164399691661</v>
      </c>
      <c r="W244" s="83">
        <f t="shared" si="78"/>
        <v>910.36820808985135</v>
      </c>
      <c r="X244" s="83">
        <f t="shared" si="78"/>
        <v>919.46094928801199</v>
      </c>
      <c r="Y244" s="83">
        <f t="shared" si="78"/>
        <v>928.59748218572724</v>
      </c>
      <c r="Z244" s="83">
        <f t="shared" si="78"/>
        <v>937.82533378955884</v>
      </c>
      <c r="AA244" s="83">
        <f t="shared" si="78"/>
        <v>947.14541728656764</v>
      </c>
      <c r="AB244" s="83">
        <f t="shared" si="78"/>
        <v>956.5586549956854</v>
      </c>
      <c r="AC244" s="272">
        <f t="shared" si="78"/>
        <v>966.06597845903377</v>
      </c>
      <c r="AD244" s="355">
        <f t="shared" si="65"/>
        <v>17401.894733689951</v>
      </c>
    </row>
    <row r="245" spans="1:30" s="110" customFormat="1" ht="12">
      <c r="A245" s="107"/>
      <c r="B245" s="107"/>
      <c r="C245" s="108"/>
      <c r="D245" s="208"/>
      <c r="E245" s="216"/>
      <c r="F245" s="109"/>
      <c r="G245" s="109"/>
      <c r="H245" s="109"/>
      <c r="I245" s="109"/>
      <c r="J245" s="109"/>
      <c r="K245" s="109"/>
      <c r="L245" s="109"/>
      <c r="M245" s="109"/>
      <c r="N245" s="109"/>
      <c r="O245" s="109"/>
      <c r="P245" s="109"/>
      <c r="Q245" s="109"/>
      <c r="R245" s="109"/>
      <c r="S245" s="109"/>
      <c r="T245" s="109"/>
      <c r="U245" s="109"/>
      <c r="V245" s="109"/>
      <c r="W245" s="109"/>
      <c r="X245" s="109"/>
      <c r="Y245" s="109"/>
      <c r="Z245" s="109"/>
      <c r="AC245" s="262"/>
      <c r="AD245" s="337"/>
    </row>
    <row r="246" spans="1:30" s="110" customFormat="1" ht="12">
      <c r="A246" s="58" t="s">
        <v>345</v>
      </c>
      <c r="B246" s="58"/>
      <c r="C246" s="108"/>
      <c r="D246" s="208"/>
      <c r="E246" s="216"/>
      <c r="F246" s="109"/>
      <c r="G246" s="109"/>
      <c r="H246" s="109"/>
      <c r="I246" s="109"/>
      <c r="J246" s="109"/>
      <c r="K246" s="109"/>
      <c r="L246" s="109"/>
      <c r="M246" s="109"/>
      <c r="N246" s="109"/>
      <c r="O246" s="109"/>
      <c r="P246" s="109"/>
      <c r="Q246" s="109"/>
      <c r="R246" s="109"/>
      <c r="S246" s="109"/>
      <c r="T246" s="109"/>
      <c r="U246" s="109"/>
      <c r="V246" s="109"/>
      <c r="W246" s="109"/>
      <c r="X246" s="109"/>
      <c r="Y246" s="109"/>
      <c r="Z246" s="109"/>
      <c r="AC246" s="262"/>
      <c r="AD246" s="337"/>
    </row>
    <row r="247" spans="1:30" s="110" customFormat="1" ht="12">
      <c r="A247" s="58"/>
      <c r="B247" s="58"/>
      <c r="C247" s="46" t="s">
        <v>39</v>
      </c>
      <c r="D247" s="210"/>
      <c r="E247" s="217"/>
      <c r="F247" s="45"/>
      <c r="G247" s="109"/>
      <c r="H247" s="109"/>
      <c r="I247" s="109"/>
      <c r="J247" s="109"/>
      <c r="K247" s="109"/>
      <c r="L247" s="109"/>
      <c r="M247" s="109"/>
      <c r="N247" s="109"/>
      <c r="O247" s="109"/>
      <c r="P247" s="109"/>
      <c r="Q247" s="109"/>
      <c r="R247" s="109"/>
      <c r="S247" s="109"/>
      <c r="T247" s="109"/>
      <c r="U247" s="109"/>
      <c r="V247" s="109"/>
      <c r="W247" s="109"/>
      <c r="X247" s="109"/>
      <c r="Y247" s="109"/>
      <c r="Z247" s="109"/>
      <c r="AC247" s="262"/>
      <c r="AD247" s="337"/>
    </row>
    <row r="248" spans="1:30" s="110" customFormat="1" ht="12">
      <c r="A248" s="58"/>
      <c r="B248" s="58" t="s">
        <v>225</v>
      </c>
      <c r="D248" s="210"/>
      <c r="E248" s="217"/>
      <c r="F248" s="45"/>
      <c r="G248" s="109"/>
      <c r="H248" s="109"/>
      <c r="I248" s="109"/>
      <c r="J248" s="109"/>
      <c r="K248" s="109"/>
      <c r="L248" s="109"/>
      <c r="M248" s="109"/>
      <c r="N248" s="109"/>
      <c r="O248" s="109"/>
      <c r="P248" s="109"/>
      <c r="Q248" s="109"/>
      <c r="R248" s="109"/>
      <c r="S248" s="109"/>
      <c r="T248" s="109"/>
      <c r="U248" s="109"/>
      <c r="V248" s="109"/>
      <c r="W248" s="109"/>
      <c r="X248" s="109"/>
      <c r="Y248" s="109"/>
      <c r="Z248" s="109"/>
      <c r="AC248" s="262"/>
      <c r="AD248" s="337"/>
    </row>
    <row r="249" spans="1:30" s="110" customFormat="1" ht="12">
      <c r="A249" s="58"/>
      <c r="B249" s="444" t="s">
        <v>587</v>
      </c>
      <c r="C249" s="78" t="s">
        <v>650</v>
      </c>
      <c r="D249" s="210"/>
      <c r="E249" s="217"/>
      <c r="F249" s="45"/>
      <c r="G249" s="109"/>
      <c r="H249" s="109"/>
      <c r="I249" s="55"/>
      <c r="J249" s="55"/>
      <c r="K249" s="55"/>
      <c r="L249" s="55"/>
      <c r="M249" s="55"/>
      <c r="N249" s="55"/>
      <c r="O249" s="55"/>
      <c r="P249" s="55"/>
      <c r="Q249" s="55"/>
      <c r="R249" s="55"/>
      <c r="S249" s="55"/>
      <c r="T249" s="55"/>
      <c r="U249" s="55"/>
      <c r="V249" s="55"/>
      <c r="W249" s="55"/>
      <c r="X249" s="55"/>
      <c r="Y249" s="55"/>
      <c r="Z249" s="55"/>
      <c r="AA249" s="55"/>
      <c r="AB249" s="55"/>
      <c r="AC249" s="270"/>
      <c r="AD249" s="353"/>
    </row>
    <row r="250" spans="1:30" s="110" customFormat="1" ht="12">
      <c r="A250" s="58"/>
      <c r="C250" s="78" t="s">
        <v>542</v>
      </c>
      <c r="D250" s="210">
        <f>'Mode Operating Assumptions'!D189</f>
        <v>8.2555465307736857E-8</v>
      </c>
      <c r="E250" s="217"/>
      <c r="F250" s="55">
        <f t="shared" ref="F250:AC250" si="79">$D$250*(F$11+F$12-F$23+F$30+F$31)</f>
        <v>0</v>
      </c>
      <c r="G250" s="55">
        <f t="shared" si="79"/>
        <v>0</v>
      </c>
      <c r="H250" s="55">
        <f t="shared" si="79"/>
        <v>0</v>
      </c>
      <c r="I250" s="55">
        <f t="shared" si="79"/>
        <v>0</v>
      </c>
      <c r="J250" s="55">
        <f t="shared" si="79"/>
        <v>8.6749794668088197E-4</v>
      </c>
      <c r="K250" s="55">
        <f t="shared" si="79"/>
        <v>1.2064221608294103E-3</v>
      </c>
      <c r="L250" s="55">
        <f t="shared" si="79"/>
        <v>1.2715465447030395E-3</v>
      </c>
      <c r="M250" s="55">
        <f t="shared" si="79"/>
        <v>-1.087680231718224E-3</v>
      </c>
      <c r="N250" s="55">
        <f t="shared" si="79"/>
        <v>1.32678824863413E-3</v>
      </c>
      <c r="O250" s="55">
        <f t="shared" si="79"/>
        <v>1.3169032747233939E-3</v>
      </c>
      <c r="P250" s="55">
        <f t="shared" si="79"/>
        <v>1.3069007148559944E-3</v>
      </c>
      <c r="Q250" s="55">
        <f t="shared" si="79"/>
        <v>1.296779393172366E-3</v>
      </c>
      <c r="R250" s="55">
        <f t="shared" si="79"/>
        <v>1.2865381220543463E-3</v>
      </c>
      <c r="S250" s="55">
        <f t="shared" si="79"/>
        <v>1.2761757020075912E-3</v>
      </c>
      <c r="T250" s="55">
        <f t="shared" si="79"/>
        <v>1.2656909215428129E-3</v>
      </c>
      <c r="U250" s="55">
        <f t="shared" si="79"/>
        <v>1.2550825570558318E-3</v>
      </c>
      <c r="V250" s="55">
        <f t="shared" si="79"/>
        <v>1.2443493727064261E-3</v>
      </c>
      <c r="W250" s="55">
        <f t="shared" si="79"/>
        <v>1.2334901202959707E-3</v>
      </c>
      <c r="X250" s="55">
        <f t="shared" si="79"/>
        <v>1.2413950959424404E-3</v>
      </c>
      <c r="Y250" s="55">
        <f t="shared" si="79"/>
        <v>1.2302940345106442E-3</v>
      </c>
      <c r="Z250" s="55">
        <f t="shared" si="79"/>
        <v>1.2190630850294816E-3</v>
      </c>
      <c r="AA250" s="55">
        <f t="shared" si="79"/>
        <v>1.2077009486184569E-3</v>
      </c>
      <c r="AB250" s="55">
        <f t="shared" si="79"/>
        <v>1.1962063134082735E-3</v>
      </c>
      <c r="AC250" s="270">
        <f t="shared" si="79"/>
        <v>1.1845778544109394E-3</v>
      </c>
      <c r="AD250" s="353">
        <f>SUM(F250:AC250)</f>
        <v>2.2345722179464209E-2</v>
      </c>
    </row>
    <row r="251" spans="1:30" s="110" customFormat="1" ht="12">
      <c r="A251" s="58"/>
      <c r="C251" s="49" t="s">
        <v>40</v>
      </c>
      <c r="D251" s="308">
        <f>-'Mode Operating Assumptions'!C179</f>
        <v>-6200000</v>
      </c>
      <c r="E251" s="217"/>
      <c r="F251" s="255">
        <f t="shared" ref="F251:AC251" si="80">F250*$D$251</f>
        <v>0</v>
      </c>
      <c r="G251" s="255">
        <f t="shared" si="80"/>
        <v>0</v>
      </c>
      <c r="H251" s="255">
        <f t="shared" si="80"/>
        <v>0</v>
      </c>
      <c r="I251" s="305">
        <f t="shared" si="80"/>
        <v>0</v>
      </c>
      <c r="J251" s="305">
        <f t="shared" si="80"/>
        <v>-5378.4872694214682</v>
      </c>
      <c r="K251" s="305">
        <f t="shared" si="80"/>
        <v>-7479.8173971423439</v>
      </c>
      <c r="L251" s="305">
        <f t="shared" si="80"/>
        <v>-7883.5885771588455</v>
      </c>
      <c r="M251" s="305">
        <f t="shared" si="80"/>
        <v>6743.6174366529885</v>
      </c>
      <c r="N251" s="305">
        <f t="shared" si="80"/>
        <v>-8226.0871415316051</v>
      </c>
      <c r="O251" s="305">
        <f t="shared" si="80"/>
        <v>-8164.800303285042</v>
      </c>
      <c r="P251" s="305">
        <f t="shared" si="80"/>
        <v>-8102.7844321071652</v>
      </c>
      <c r="Q251" s="305">
        <f t="shared" si="80"/>
        <v>-8040.0322376686699</v>
      </c>
      <c r="R251" s="305">
        <f t="shared" si="80"/>
        <v>-7976.5363567369468</v>
      </c>
      <c r="S251" s="305">
        <f t="shared" si="80"/>
        <v>-7912.2893524470655</v>
      </c>
      <c r="T251" s="305">
        <f t="shared" si="80"/>
        <v>-7847.2837135654399</v>
      </c>
      <c r="U251" s="305">
        <f t="shared" si="80"/>
        <v>-7781.5118537461576</v>
      </c>
      <c r="V251" s="305">
        <f t="shared" si="80"/>
        <v>-7714.966110779842</v>
      </c>
      <c r="W251" s="305">
        <f t="shared" si="80"/>
        <v>-7647.6387458350182</v>
      </c>
      <c r="X251" s="305">
        <f t="shared" si="80"/>
        <v>-7696.6495948431302</v>
      </c>
      <c r="Y251" s="305">
        <f t="shared" si="80"/>
        <v>-7627.8230139659936</v>
      </c>
      <c r="Z251" s="305">
        <f t="shared" si="80"/>
        <v>-7558.1911271827857</v>
      </c>
      <c r="AA251" s="305">
        <f t="shared" si="80"/>
        <v>-7487.7458814344327</v>
      </c>
      <c r="AB251" s="305">
        <f t="shared" si="80"/>
        <v>-7416.479143131296</v>
      </c>
      <c r="AC251" s="391">
        <f t="shared" si="80"/>
        <v>-7344.3826973478244</v>
      </c>
      <c r="AD251" s="360">
        <f>SUM(F251:AC251)</f>
        <v>-138543.47751267804</v>
      </c>
    </row>
    <row r="252" spans="1:30" s="110" customFormat="1" ht="12">
      <c r="A252" s="58"/>
      <c r="C252" s="78" t="s">
        <v>543</v>
      </c>
      <c r="D252" s="210">
        <f>'Mode Operating Assumptions'!D190</f>
        <v>2.5164317528336415E-6</v>
      </c>
      <c r="E252" s="217"/>
      <c r="F252" s="55">
        <f t="shared" ref="F252:AC252" si="81">$D$252*(F$11+F$12-F$23+F$30+F$31)</f>
        <v>0</v>
      </c>
      <c r="G252" s="55">
        <f t="shared" si="81"/>
        <v>0</v>
      </c>
      <c r="H252" s="55">
        <f t="shared" si="81"/>
        <v>0</v>
      </c>
      <c r="I252" s="55">
        <f t="shared" si="81"/>
        <v>0</v>
      </c>
      <c r="J252" s="55">
        <f t="shared" si="81"/>
        <v>2.644282084061093E-2</v>
      </c>
      <c r="K252" s="55">
        <f t="shared" si="81"/>
        <v>3.6773810449939874E-2</v>
      </c>
      <c r="L252" s="55">
        <f t="shared" si="81"/>
        <v>3.8758913033426483E-2</v>
      </c>
      <c r="M252" s="55">
        <f t="shared" si="81"/>
        <v>-3.3154353401345087E-2</v>
      </c>
      <c r="N252" s="55">
        <f t="shared" si="81"/>
        <v>4.0442774632832953E-2</v>
      </c>
      <c r="O252" s="55">
        <f t="shared" si="81"/>
        <v>4.0141463724679464E-2</v>
      </c>
      <c r="P252" s="55">
        <f t="shared" si="81"/>
        <v>3.9836568595494296E-2</v>
      </c>
      <c r="Q252" s="55">
        <f t="shared" si="81"/>
        <v>3.9528053403067191E-2</v>
      </c>
      <c r="R252" s="55">
        <f t="shared" si="81"/>
        <v>3.9215881946765702E-2</v>
      </c>
      <c r="S252" s="55">
        <f t="shared" si="81"/>
        <v>3.8900017663951098E-2</v>
      </c>
      <c r="T252" s="55">
        <f t="shared" si="81"/>
        <v>3.8580423626358225E-2</v>
      </c>
      <c r="U252" s="55">
        <f t="shared" si="81"/>
        <v>3.8257062536439325E-2</v>
      </c>
      <c r="V252" s="55">
        <f t="shared" si="81"/>
        <v>3.7929896723671135E-2</v>
      </c>
      <c r="W252" s="55">
        <f t="shared" si="81"/>
        <v>3.7598888140825147E-2</v>
      </c>
      <c r="X252" s="55">
        <f t="shared" si="81"/>
        <v>3.7839845316076981E-2</v>
      </c>
      <c r="Y252" s="55">
        <f t="shared" si="81"/>
        <v>3.7501465980765897E-2</v>
      </c>
      <c r="Z252" s="55">
        <f t="shared" si="81"/>
        <v>3.7159127435600924E-2</v>
      </c>
      <c r="AA252" s="55">
        <f t="shared" si="81"/>
        <v>3.6812790088483462E-2</v>
      </c>
      <c r="AB252" s="55">
        <f t="shared" si="81"/>
        <v>3.6462413951394032E-2</v>
      </c>
      <c r="AC252" s="270">
        <f t="shared" si="81"/>
        <v>3.6107958636432909E-2</v>
      </c>
      <c r="AD252" s="353">
        <f>SUM(F252:AC252)</f>
        <v>0.68113582332547096</v>
      </c>
    </row>
    <row r="253" spans="1:30" s="110" customFormat="1" ht="12">
      <c r="A253" s="58"/>
      <c r="C253" s="49" t="s">
        <v>41</v>
      </c>
      <c r="D253" s="308">
        <f>-'Mode Operating Assumptions'!C175</f>
        <v>-291400</v>
      </c>
      <c r="E253" s="217"/>
      <c r="F253" s="255">
        <f t="shared" ref="F253:AC253" si="82">F252*$D$253</f>
        <v>0</v>
      </c>
      <c r="G253" s="255">
        <f t="shared" si="82"/>
        <v>0</v>
      </c>
      <c r="H253" s="255">
        <f t="shared" si="82"/>
        <v>0</v>
      </c>
      <c r="I253" s="305">
        <f t="shared" si="82"/>
        <v>0</v>
      </c>
      <c r="J253" s="305">
        <f t="shared" si="82"/>
        <v>-7705.4379929540255</v>
      </c>
      <c r="K253" s="305">
        <f t="shared" si="82"/>
        <v>-10715.88836511248</v>
      </c>
      <c r="L253" s="305">
        <f t="shared" si="82"/>
        <v>-11294.347257940477</v>
      </c>
      <c r="M253" s="305">
        <f t="shared" si="82"/>
        <v>9661.1785811519585</v>
      </c>
      <c r="N253" s="305">
        <f t="shared" si="82"/>
        <v>-11785.024528007523</v>
      </c>
      <c r="O253" s="305">
        <f t="shared" si="82"/>
        <v>-11697.222529371596</v>
      </c>
      <c r="P253" s="305">
        <f t="shared" si="82"/>
        <v>-11608.376088727038</v>
      </c>
      <c r="Q253" s="305">
        <f t="shared" si="82"/>
        <v>-11518.474761653779</v>
      </c>
      <c r="R253" s="305">
        <f t="shared" si="82"/>
        <v>-11427.507999287525</v>
      </c>
      <c r="S253" s="305">
        <f t="shared" si="82"/>
        <v>-11335.46514727535</v>
      </c>
      <c r="T253" s="305">
        <f t="shared" si="82"/>
        <v>-11242.335444720788</v>
      </c>
      <c r="U253" s="305">
        <f t="shared" si="82"/>
        <v>-11148.108023118419</v>
      </c>
      <c r="V253" s="305">
        <f t="shared" si="82"/>
        <v>-11052.771905277768</v>
      </c>
      <c r="W253" s="305">
        <f t="shared" si="82"/>
        <v>-10956.316004236447</v>
      </c>
      <c r="X253" s="305">
        <f t="shared" si="82"/>
        <v>-11026.530925104833</v>
      </c>
      <c r="Y253" s="305">
        <f t="shared" si="82"/>
        <v>-10927.927186795183</v>
      </c>
      <c r="Z253" s="305">
        <f t="shared" si="82"/>
        <v>-10828.169734734109</v>
      </c>
      <c r="AA253" s="305">
        <f t="shared" si="82"/>
        <v>-10727.24703178408</v>
      </c>
      <c r="AB253" s="305">
        <f t="shared" si="82"/>
        <v>-10625.14742543622</v>
      </c>
      <c r="AC253" s="391">
        <f t="shared" si="82"/>
        <v>-10521.85914665655</v>
      </c>
      <c r="AD253" s="360">
        <f>SUM(F253:AC253)</f>
        <v>-198482.97891704223</v>
      </c>
    </row>
    <row r="254" spans="1:30" s="110" customFormat="1" ht="12">
      <c r="A254" s="58"/>
      <c r="B254" s="58"/>
      <c r="D254" s="210"/>
      <c r="E254" s="217"/>
      <c r="F254" s="45"/>
      <c r="G254" s="109"/>
      <c r="H254" s="109"/>
      <c r="I254" s="109"/>
      <c r="J254" s="109"/>
      <c r="K254" s="109"/>
      <c r="L254" s="109"/>
      <c r="M254" s="109"/>
      <c r="N254" s="109"/>
      <c r="O254" s="109"/>
      <c r="P254" s="109"/>
      <c r="Q254" s="109"/>
      <c r="R254" s="109"/>
      <c r="S254" s="109"/>
      <c r="T254" s="109"/>
      <c r="U254" s="109"/>
      <c r="V254" s="109"/>
      <c r="W254" s="109"/>
      <c r="X254" s="109"/>
      <c r="Y254" s="109"/>
      <c r="Z254" s="109"/>
      <c r="AC254" s="262"/>
      <c r="AD254" s="337"/>
    </row>
    <row r="255" spans="1:30" s="110" customFormat="1" ht="12">
      <c r="A255" s="58"/>
      <c r="B255" s="445" t="s">
        <v>588</v>
      </c>
      <c r="C255" s="78" t="s">
        <v>586</v>
      </c>
      <c r="D255" s="545" t="s">
        <v>651</v>
      </c>
      <c r="E255" s="217"/>
      <c r="F255" s="45"/>
      <c r="G255" s="109"/>
      <c r="H255" s="109"/>
      <c r="I255" s="109"/>
      <c r="J255" s="109"/>
      <c r="K255" s="109"/>
      <c r="L255" s="109"/>
      <c r="M255" s="109"/>
      <c r="N255" s="109"/>
      <c r="O255" s="109"/>
      <c r="P255" s="109"/>
      <c r="Q255" s="109"/>
      <c r="R255" s="109"/>
      <c r="S255" s="109"/>
      <c r="T255" s="109"/>
      <c r="U255" s="109"/>
      <c r="V255" s="109"/>
      <c r="W255" s="109"/>
      <c r="X255" s="109"/>
      <c r="Y255" s="109"/>
      <c r="Z255" s="109"/>
      <c r="AC255" s="262"/>
      <c r="AD255" s="337"/>
    </row>
    <row r="256" spans="1:30" s="110" customFormat="1" ht="12">
      <c r="A256" s="58"/>
      <c r="B256" s="58"/>
      <c r="C256" s="78" t="s">
        <v>542</v>
      </c>
      <c r="D256" s="210">
        <f>-0.75/'FG Users'!C89*0.05</f>
        <v>-1.6365540717465304E-7</v>
      </c>
      <c r="E256" s="217"/>
      <c r="F256" s="45">
        <v>0</v>
      </c>
      <c r="G256" s="45">
        <v>0</v>
      </c>
      <c r="H256" s="45">
        <v>0</v>
      </c>
      <c r="I256" s="45">
        <f t="shared" ref="I256:AC256" si="83">$D$256*I10</f>
        <v>0</v>
      </c>
      <c r="J256" s="45">
        <f t="shared" si="83"/>
        <v>-3.2506867161420629E-2</v>
      </c>
      <c r="K256" s="45">
        <f t="shared" si="83"/>
        <v>-4.4803111935701051E-2</v>
      </c>
      <c r="L256" s="45">
        <f t="shared" si="83"/>
        <v>-4.6263734322841268E-2</v>
      </c>
      <c r="M256" s="45">
        <f t="shared" si="83"/>
        <v>-1.4606223871402124E-3</v>
      </c>
      <c r="N256" s="45">
        <f t="shared" si="83"/>
        <v>-4.7760112594392161E-2</v>
      </c>
      <c r="O256" s="45">
        <f t="shared" si="83"/>
        <v>-4.7795868478802857E-2</v>
      </c>
      <c r="P256" s="45">
        <f t="shared" si="83"/>
        <v>-4.7831624363213539E-2</v>
      </c>
      <c r="Q256" s="45">
        <f t="shared" si="83"/>
        <v>-4.7867380247624221E-2</v>
      </c>
      <c r="R256" s="45">
        <f t="shared" si="83"/>
        <v>-4.790313613203491E-2</v>
      </c>
      <c r="S256" s="45">
        <f t="shared" si="83"/>
        <v>-4.7938892016445599E-2</v>
      </c>
      <c r="T256" s="45">
        <f t="shared" si="83"/>
        <v>-4.7974647900856281E-2</v>
      </c>
      <c r="U256" s="45">
        <f t="shared" si="83"/>
        <v>-4.801040378526697E-2</v>
      </c>
      <c r="V256" s="45">
        <f t="shared" si="83"/>
        <v>-4.8046159669677659E-2</v>
      </c>
      <c r="W256" s="45">
        <f t="shared" si="83"/>
        <v>-4.8081915554088341E-2</v>
      </c>
      <c r="X256" s="45">
        <f t="shared" si="83"/>
        <v>-4.8478194750761407E-2</v>
      </c>
      <c r="Y256" s="45">
        <f t="shared" si="83"/>
        <v>-4.8514220132277137E-2</v>
      </c>
      <c r="Z256" s="45">
        <f t="shared" si="83"/>
        <v>-4.8550245513792875E-2</v>
      </c>
      <c r="AA256" s="45">
        <f t="shared" si="83"/>
        <v>-4.8586270895308592E-2</v>
      </c>
      <c r="AB256" s="45">
        <f t="shared" si="83"/>
        <v>-4.8622296276824323E-2</v>
      </c>
      <c r="AC256" s="263">
        <f t="shared" si="83"/>
        <v>-4.865832165834006E-2</v>
      </c>
      <c r="AD256" s="338">
        <f t="shared" si="65"/>
        <v>-0.89565402577680997</v>
      </c>
    </row>
    <row r="257" spans="1:30" s="110" customFormat="1" ht="12">
      <c r="A257" s="58"/>
      <c r="B257" s="58"/>
      <c r="C257" s="49" t="s">
        <v>40</v>
      </c>
      <c r="D257" s="308">
        <f>-'Mode Operating Assumptions'!C179</f>
        <v>-6200000</v>
      </c>
      <c r="E257" s="217"/>
      <c r="F257" s="315">
        <f>F256*$D$257</f>
        <v>0</v>
      </c>
      <c r="G257" s="315">
        <f t="shared" ref="G257:AC257" si="84">G256*$D$257</f>
        <v>0</v>
      </c>
      <c r="H257" s="315">
        <f t="shared" si="84"/>
        <v>0</v>
      </c>
      <c r="I257" s="315">
        <f t="shared" si="84"/>
        <v>0</v>
      </c>
      <c r="J257" s="315">
        <f t="shared" si="84"/>
        <v>201542.57640080788</v>
      </c>
      <c r="K257" s="315">
        <f t="shared" si="84"/>
        <v>277779.29400134651</v>
      </c>
      <c r="L257" s="315">
        <f t="shared" si="84"/>
        <v>286835.15280161588</v>
      </c>
      <c r="M257" s="315">
        <f t="shared" si="84"/>
        <v>9055.8588002693177</v>
      </c>
      <c r="N257" s="315">
        <f t="shared" si="84"/>
        <v>296112.69808523142</v>
      </c>
      <c r="O257" s="315">
        <f t="shared" si="84"/>
        <v>296334.38456857769</v>
      </c>
      <c r="P257" s="315">
        <f t="shared" si="84"/>
        <v>296556.07105192397</v>
      </c>
      <c r="Q257" s="315">
        <f t="shared" si="84"/>
        <v>296777.75753527018</v>
      </c>
      <c r="R257" s="315">
        <f t="shared" si="84"/>
        <v>296999.44401861646</v>
      </c>
      <c r="S257" s="315">
        <f t="shared" si="84"/>
        <v>297221.13050196273</v>
      </c>
      <c r="T257" s="315">
        <f t="shared" si="84"/>
        <v>297442.81698530895</v>
      </c>
      <c r="U257" s="315">
        <f t="shared" si="84"/>
        <v>297664.50346865522</v>
      </c>
      <c r="V257" s="315">
        <f t="shared" si="84"/>
        <v>297886.1899520015</v>
      </c>
      <c r="W257" s="315">
        <f t="shared" si="84"/>
        <v>298107.87643534772</v>
      </c>
      <c r="X257" s="315">
        <f t="shared" si="84"/>
        <v>300564.80745472072</v>
      </c>
      <c r="Y257" s="315">
        <f t="shared" si="84"/>
        <v>300788.16482011823</v>
      </c>
      <c r="Z257" s="315">
        <f t="shared" si="84"/>
        <v>301011.52218551585</v>
      </c>
      <c r="AA257" s="315">
        <f t="shared" si="84"/>
        <v>301234.87955091329</v>
      </c>
      <c r="AB257" s="315">
        <f t="shared" si="84"/>
        <v>301458.23691631079</v>
      </c>
      <c r="AC257" s="390">
        <f t="shared" si="84"/>
        <v>301681.59428170836</v>
      </c>
      <c r="AD257" s="359">
        <f t="shared" si="65"/>
        <v>5553054.959816223</v>
      </c>
    </row>
    <row r="258" spans="1:30" s="110" customFormat="1" ht="12">
      <c r="A258" s="58"/>
      <c r="B258" s="58"/>
      <c r="C258" s="78" t="s">
        <v>543</v>
      </c>
      <c r="D258" s="210">
        <f>-0.75/'FG Users'!C89*0.95</f>
        <v>-3.1094527363184079E-6</v>
      </c>
      <c r="E258" s="217"/>
      <c r="F258" s="45">
        <v>0</v>
      </c>
      <c r="G258" s="45">
        <v>0</v>
      </c>
      <c r="H258" s="45">
        <v>0</v>
      </c>
      <c r="I258" s="45">
        <f t="shared" ref="I258:AC258" si="85">$D$258*I10</f>
        <v>0</v>
      </c>
      <c r="J258" s="45">
        <f t="shared" si="85"/>
        <v>-0.61763047606699195</v>
      </c>
      <c r="K258" s="45">
        <f t="shared" si="85"/>
        <v>-0.85125912677831994</v>
      </c>
      <c r="L258" s="45">
        <f t="shared" si="85"/>
        <v>-0.87901095213398417</v>
      </c>
      <c r="M258" s="45">
        <f t="shared" si="85"/>
        <v>-2.7751825355664037E-2</v>
      </c>
      <c r="N258" s="45">
        <f t="shared" si="85"/>
        <v>-0.90744213929345108</v>
      </c>
      <c r="O258" s="45">
        <f t="shared" si="85"/>
        <v>-0.90812150109725431</v>
      </c>
      <c r="P258" s="45">
        <f t="shared" si="85"/>
        <v>-0.90880086290105722</v>
      </c>
      <c r="Q258" s="45">
        <f t="shared" si="85"/>
        <v>-0.90948022470486023</v>
      </c>
      <c r="R258" s="45">
        <f t="shared" si="85"/>
        <v>-0.91015958650866324</v>
      </c>
      <c r="S258" s="45">
        <f t="shared" si="85"/>
        <v>-0.91083894831246637</v>
      </c>
      <c r="T258" s="45">
        <f t="shared" si="85"/>
        <v>-0.91151831011626938</v>
      </c>
      <c r="U258" s="45">
        <f t="shared" si="85"/>
        <v>-0.91219767192007239</v>
      </c>
      <c r="V258" s="45">
        <f t="shared" si="85"/>
        <v>-0.91287703372387552</v>
      </c>
      <c r="W258" s="45">
        <f t="shared" si="85"/>
        <v>-0.91355639552767853</v>
      </c>
      <c r="X258" s="45">
        <f t="shared" si="85"/>
        <v>-0.92108570026446679</v>
      </c>
      <c r="Y258" s="45">
        <f t="shared" si="85"/>
        <v>-0.92177018251326559</v>
      </c>
      <c r="Z258" s="45">
        <f t="shared" si="85"/>
        <v>-0.92245466476206461</v>
      </c>
      <c r="AA258" s="45">
        <f t="shared" si="85"/>
        <v>-0.9231391470108633</v>
      </c>
      <c r="AB258" s="45">
        <f t="shared" si="85"/>
        <v>-0.9238236292596621</v>
      </c>
      <c r="AC258" s="263">
        <f t="shared" si="85"/>
        <v>-0.92450811150846113</v>
      </c>
      <c r="AD258" s="338">
        <f t="shared" si="65"/>
        <v>-17.017426489759391</v>
      </c>
    </row>
    <row r="259" spans="1:30" s="110" customFormat="1" ht="12">
      <c r="A259" s="58"/>
      <c r="B259" s="58"/>
      <c r="C259" s="49" t="s">
        <v>41</v>
      </c>
      <c r="D259" s="308">
        <f>-'Mode Operating Assumptions'!C175</f>
        <v>-291400</v>
      </c>
      <c r="E259" s="217"/>
      <c r="F259" s="315">
        <f>F258*$D$259</f>
        <v>0</v>
      </c>
      <c r="G259" s="315">
        <f t="shared" ref="G259:AC259" si="86">G258*$D$259</f>
        <v>0</v>
      </c>
      <c r="H259" s="315">
        <f t="shared" si="86"/>
        <v>0</v>
      </c>
      <c r="I259" s="315">
        <f t="shared" si="86"/>
        <v>0</v>
      </c>
      <c r="J259" s="315">
        <f t="shared" si="86"/>
        <v>179977.52072592147</v>
      </c>
      <c r="K259" s="315">
        <f t="shared" si="86"/>
        <v>248056.90954320243</v>
      </c>
      <c r="L259" s="315">
        <f t="shared" si="86"/>
        <v>256143.79145184299</v>
      </c>
      <c r="M259" s="315">
        <f t="shared" si="86"/>
        <v>8086.8819086405001</v>
      </c>
      <c r="N259" s="315">
        <f t="shared" si="86"/>
        <v>264428.63939011167</v>
      </c>
      <c r="O259" s="315">
        <f t="shared" si="86"/>
        <v>264626.60541973991</v>
      </c>
      <c r="P259" s="315">
        <f t="shared" si="86"/>
        <v>264824.57144936809</v>
      </c>
      <c r="Q259" s="315">
        <f t="shared" si="86"/>
        <v>265022.53747899627</v>
      </c>
      <c r="R259" s="315">
        <f t="shared" si="86"/>
        <v>265220.50350862445</v>
      </c>
      <c r="S259" s="315">
        <f t="shared" si="86"/>
        <v>265418.46953825268</v>
      </c>
      <c r="T259" s="315">
        <f t="shared" si="86"/>
        <v>265616.43556788092</v>
      </c>
      <c r="U259" s="315">
        <f t="shared" si="86"/>
        <v>265814.4015975091</v>
      </c>
      <c r="V259" s="315">
        <f t="shared" si="86"/>
        <v>266012.36762713734</v>
      </c>
      <c r="W259" s="315">
        <f t="shared" si="86"/>
        <v>266210.33365676552</v>
      </c>
      <c r="X259" s="315">
        <f t="shared" si="86"/>
        <v>268404.37305706565</v>
      </c>
      <c r="Y259" s="315">
        <f t="shared" si="86"/>
        <v>268603.83118436561</v>
      </c>
      <c r="Z259" s="315">
        <f t="shared" si="86"/>
        <v>268803.28931166563</v>
      </c>
      <c r="AA259" s="315">
        <f t="shared" si="86"/>
        <v>269002.74743896554</v>
      </c>
      <c r="AB259" s="315">
        <f t="shared" si="86"/>
        <v>269202.20556626556</v>
      </c>
      <c r="AC259" s="390">
        <f t="shared" si="86"/>
        <v>269401.66369356558</v>
      </c>
      <c r="AD259" s="359">
        <f t="shared" si="65"/>
        <v>4958878.0791158872</v>
      </c>
    </row>
    <row r="260" spans="1:30" s="110" customFormat="1" ht="12">
      <c r="A260" s="58"/>
      <c r="B260" s="58"/>
      <c r="C260" s="49"/>
      <c r="D260" s="308"/>
      <c r="E260" s="217"/>
      <c r="F260" s="315"/>
      <c r="G260" s="315"/>
      <c r="H260" s="315"/>
      <c r="I260" s="315"/>
      <c r="J260" s="315"/>
      <c r="K260" s="315"/>
      <c r="L260" s="315"/>
      <c r="M260" s="315"/>
      <c r="N260" s="315"/>
      <c r="O260" s="315"/>
      <c r="P260" s="315"/>
      <c r="Q260" s="315"/>
      <c r="R260" s="315"/>
      <c r="S260" s="315"/>
      <c r="T260" s="315"/>
      <c r="U260" s="315"/>
      <c r="V260" s="315"/>
      <c r="W260" s="315"/>
      <c r="X260" s="315"/>
      <c r="Y260" s="315"/>
      <c r="Z260" s="315"/>
      <c r="AA260" s="315"/>
      <c r="AB260" s="315"/>
      <c r="AC260" s="390"/>
      <c r="AD260" s="359"/>
    </row>
    <row r="261" spans="1:30" s="110" customFormat="1" ht="12">
      <c r="A261" s="58"/>
      <c r="B261" s="58" t="s">
        <v>222</v>
      </c>
      <c r="D261" s="210"/>
      <c r="E261" s="217"/>
      <c r="G261" s="109"/>
      <c r="H261" s="109"/>
      <c r="I261" s="109"/>
      <c r="J261" s="109"/>
      <c r="K261" s="109"/>
      <c r="L261" s="109"/>
      <c r="M261" s="109"/>
      <c r="N261" s="109"/>
      <c r="O261" s="109"/>
      <c r="P261" s="109"/>
      <c r="Q261" s="109"/>
      <c r="R261" s="109"/>
      <c r="S261" s="109"/>
      <c r="T261" s="109"/>
      <c r="U261" s="109"/>
      <c r="V261" s="109"/>
      <c r="W261" s="109"/>
      <c r="X261" s="109"/>
      <c r="Y261" s="109"/>
      <c r="Z261" s="109"/>
      <c r="AC261" s="262"/>
      <c r="AD261" s="337"/>
    </row>
    <row r="262" spans="1:30" s="110" customFormat="1" ht="12">
      <c r="A262" s="58"/>
      <c r="B262" s="58" t="s">
        <v>519</v>
      </c>
      <c r="D262" s="210"/>
      <c r="E262" s="217"/>
      <c r="G262" s="109"/>
      <c r="H262" s="109"/>
      <c r="I262" s="109"/>
      <c r="J262" s="109"/>
      <c r="K262" s="109"/>
      <c r="L262" s="109"/>
      <c r="M262" s="109"/>
      <c r="N262" s="109"/>
      <c r="O262" s="109"/>
      <c r="P262" s="109"/>
      <c r="Q262" s="109"/>
      <c r="R262" s="109"/>
      <c r="S262" s="109"/>
      <c r="T262" s="109"/>
      <c r="U262" s="109"/>
      <c r="V262" s="109"/>
      <c r="W262" s="109"/>
      <c r="X262" s="109"/>
      <c r="Y262" s="109"/>
      <c r="Z262" s="109"/>
      <c r="AC262" s="262"/>
      <c r="AD262" s="337"/>
    </row>
    <row r="263" spans="1:30" s="110" customFormat="1" ht="12">
      <c r="A263" s="58"/>
      <c r="B263" s="444" t="s">
        <v>587</v>
      </c>
      <c r="C263" s="78" t="s">
        <v>518</v>
      </c>
      <c r="D263" s="210"/>
      <c r="E263" s="217"/>
      <c r="F263" s="55"/>
      <c r="G263" s="55"/>
      <c r="H263" s="55"/>
      <c r="I263" s="55"/>
      <c r="J263" s="55"/>
      <c r="K263" s="55"/>
      <c r="L263" s="55"/>
      <c r="M263" s="55"/>
      <c r="N263" s="55"/>
      <c r="O263" s="55"/>
      <c r="P263" s="55"/>
      <c r="Q263" s="55"/>
      <c r="R263" s="55"/>
      <c r="S263" s="55"/>
      <c r="T263" s="55"/>
      <c r="U263" s="55"/>
      <c r="V263" s="55"/>
      <c r="W263" s="55"/>
      <c r="X263" s="55"/>
      <c r="Y263" s="55"/>
      <c r="Z263" s="55"/>
      <c r="AA263" s="55"/>
      <c r="AB263" s="55"/>
      <c r="AC263" s="270"/>
      <c r="AD263" s="353"/>
    </row>
    <row r="264" spans="1:30" s="110" customFormat="1" ht="12">
      <c r="A264" s="58"/>
      <c r="C264" s="78" t="s">
        <v>542</v>
      </c>
      <c r="D264" s="210">
        <f>'Mode Operating Assumptions'!$D$195</f>
        <v>1.8722590666405648E-7</v>
      </c>
      <c r="E264" s="217"/>
      <c r="F264" s="55">
        <f t="shared" ref="F264:AC264" si="87">$D$264*(F$16+F$17+F$20+F$21+F$23+F$24+F$25+F$26)</f>
        <v>0</v>
      </c>
      <c r="G264" s="55">
        <f t="shared" si="87"/>
        <v>0</v>
      </c>
      <c r="H264" s="55">
        <f t="shared" si="87"/>
        <v>0</v>
      </c>
      <c r="I264" s="55">
        <f t="shared" si="87"/>
        <v>0</v>
      </c>
      <c r="J264" s="55">
        <f t="shared" si="87"/>
        <v>1.2078237124258477E-2</v>
      </c>
      <c r="K264" s="55">
        <f t="shared" si="87"/>
        <v>1.6492200432857762E-2</v>
      </c>
      <c r="L264" s="55">
        <f t="shared" si="87"/>
        <v>1.6659376950452384E-2</v>
      </c>
      <c r="M264" s="55">
        <f t="shared" si="87"/>
        <v>1.6725187476516398E-2</v>
      </c>
      <c r="N264" s="55">
        <f t="shared" si="87"/>
        <v>1.6995491676812913E-2</v>
      </c>
      <c r="O264" s="55">
        <f t="shared" si="87"/>
        <v>1.7164462834397778E-2</v>
      </c>
      <c r="P264" s="55">
        <f t="shared" si="87"/>
        <v>1.7335122907461208E-2</v>
      </c>
      <c r="Q264" s="55">
        <f t="shared" si="87"/>
        <v>1.7507488785157992E-2</v>
      </c>
      <c r="R264" s="55">
        <f t="shared" si="87"/>
        <v>1.768157752553446E-2</v>
      </c>
      <c r="S264" s="55">
        <f t="shared" si="87"/>
        <v>1.7857406357217404E-2</v>
      </c>
      <c r="T264" s="55">
        <f t="shared" si="87"/>
        <v>1.8034992681119896E-2</v>
      </c>
      <c r="U264" s="55">
        <f t="shared" si="87"/>
        <v>1.8214354072164131E-2</v>
      </c>
      <c r="V264" s="55">
        <f t="shared" si="87"/>
        <v>1.8395508281021527E-2</v>
      </c>
      <c r="W264" s="55">
        <f t="shared" si="87"/>
        <v>1.8578473235870207E-2</v>
      </c>
      <c r="X264" s="55">
        <f t="shared" si="87"/>
        <v>1.876406974177976E-2</v>
      </c>
      <c r="Y264" s="55">
        <f t="shared" si="87"/>
        <v>1.8950711292095027E-2</v>
      </c>
      <c r="Z264" s="55">
        <f t="shared" si="87"/>
        <v>1.9139218455815871E-2</v>
      </c>
      <c r="AA264" s="55">
        <f t="shared" si="87"/>
        <v>1.9329609889076338E-2</v>
      </c>
      <c r="AB264" s="55">
        <f t="shared" si="87"/>
        <v>1.9521904434571826E-2</v>
      </c>
      <c r="AC264" s="270">
        <f t="shared" si="87"/>
        <v>1.9716121123424701E-2</v>
      </c>
      <c r="AD264" s="353">
        <f t="shared" si="65"/>
        <v>0.35514151527760601</v>
      </c>
    </row>
    <row r="265" spans="1:30" s="110" customFormat="1" ht="12">
      <c r="A265" s="58"/>
      <c r="C265" s="49" t="s">
        <v>40</v>
      </c>
      <c r="D265" s="308">
        <f>D251</f>
        <v>-6200000</v>
      </c>
      <c r="E265" s="217"/>
      <c r="F265" s="255">
        <f>F264*$D$265</f>
        <v>0</v>
      </c>
      <c r="G265" s="255">
        <f t="shared" ref="G265:AC265" si="88">G264*$D$265</f>
        <v>0</v>
      </c>
      <c r="H265" s="255">
        <f t="shared" si="88"/>
        <v>0</v>
      </c>
      <c r="I265" s="255">
        <f t="shared" si="88"/>
        <v>0</v>
      </c>
      <c r="J265" s="255">
        <f t="shared" si="88"/>
        <v>-74885.070170402556</v>
      </c>
      <c r="K265" s="255">
        <f t="shared" si="88"/>
        <v>-102251.64268371812</v>
      </c>
      <c r="L265" s="255">
        <f t="shared" si="88"/>
        <v>-103288.13709280478</v>
      </c>
      <c r="M265" s="255">
        <f t="shared" si="88"/>
        <v>-103696.16235440166</v>
      </c>
      <c r="N265" s="255">
        <f t="shared" si="88"/>
        <v>-105372.04839624006</v>
      </c>
      <c r="O265" s="255">
        <f t="shared" si="88"/>
        <v>-106419.66957326622</v>
      </c>
      <c r="P265" s="255">
        <f t="shared" si="88"/>
        <v>-107477.76202625949</v>
      </c>
      <c r="Q265" s="255">
        <f t="shared" si="88"/>
        <v>-108546.43046797955</v>
      </c>
      <c r="R265" s="255">
        <f t="shared" si="88"/>
        <v>-109625.78065831366</v>
      </c>
      <c r="S265" s="255">
        <f t="shared" si="88"/>
        <v>-110715.9194147479</v>
      </c>
      <c r="T265" s="255">
        <f t="shared" si="88"/>
        <v>-111816.95462294336</v>
      </c>
      <c r="U265" s="255">
        <f t="shared" si="88"/>
        <v>-112928.99524741761</v>
      </c>
      <c r="V265" s="255">
        <f t="shared" si="88"/>
        <v>-114052.15134233347</v>
      </c>
      <c r="W265" s="255">
        <f t="shared" si="88"/>
        <v>-115186.53406239528</v>
      </c>
      <c r="X265" s="255">
        <f t="shared" si="88"/>
        <v>-116337.23239903452</v>
      </c>
      <c r="Y265" s="255">
        <f t="shared" si="88"/>
        <v>-117494.41001098917</v>
      </c>
      <c r="Z265" s="255">
        <f t="shared" si="88"/>
        <v>-118663.15442605841</v>
      </c>
      <c r="AA265" s="255">
        <f t="shared" si="88"/>
        <v>-119843.58131227329</v>
      </c>
      <c r="AB265" s="255">
        <f t="shared" si="88"/>
        <v>-121035.80749434532</v>
      </c>
      <c r="AC265" s="268">
        <f t="shared" si="88"/>
        <v>-122239.95096523315</v>
      </c>
      <c r="AD265" s="346">
        <f t="shared" si="65"/>
        <v>-2201877.3947211574</v>
      </c>
    </row>
    <row r="266" spans="1:30" s="110" customFormat="1" ht="12">
      <c r="A266" s="58"/>
      <c r="B266" s="58"/>
      <c r="C266" s="78" t="s">
        <v>543</v>
      </c>
      <c r="D266" s="210">
        <f>'Mode Operating Assumptions'!$D$196</f>
        <v>8.7375046258002826E-6</v>
      </c>
      <c r="E266" s="217"/>
      <c r="F266" s="55">
        <f t="shared" ref="F266:AC266" si="89">$D$266*(F$16+F$17+F$20+F$21+F$23+F$24+F$25+F$26)</f>
        <v>0</v>
      </c>
      <c r="G266" s="55">
        <f t="shared" si="89"/>
        <v>0</v>
      </c>
      <c r="H266" s="55">
        <f t="shared" si="89"/>
        <v>0</v>
      </c>
      <c r="I266" s="55">
        <f t="shared" si="89"/>
        <v>0</v>
      </c>
      <c r="J266" s="55">
        <f t="shared" si="89"/>
        <v>0.56367013852459258</v>
      </c>
      <c r="K266" s="55">
        <f t="shared" si="89"/>
        <v>0.76966206300863638</v>
      </c>
      <c r="L266" s="55">
        <f t="shared" si="89"/>
        <v>0.77746389781790326</v>
      </c>
      <c r="M266" s="55">
        <f t="shared" si="89"/>
        <v>0.78053515962219222</v>
      </c>
      <c r="N266" s="55">
        <f t="shared" si="89"/>
        <v>0.79314978247298096</v>
      </c>
      <c r="O266" s="55">
        <f t="shared" si="89"/>
        <v>0.80103536998237246</v>
      </c>
      <c r="P266" s="55">
        <f t="shared" si="89"/>
        <v>0.80899977621439423</v>
      </c>
      <c r="Q266" s="55">
        <f t="shared" si="89"/>
        <v>0.81704378935627264</v>
      </c>
      <c r="R266" s="55">
        <f t="shared" si="89"/>
        <v>0.82516820547710612</v>
      </c>
      <c r="S266" s="55">
        <f t="shared" si="89"/>
        <v>0.83337382860668419</v>
      </c>
      <c r="T266" s="55">
        <f t="shared" si="89"/>
        <v>0.84166147081509435</v>
      </c>
      <c r="U266" s="55">
        <f t="shared" si="89"/>
        <v>0.85003195229312489</v>
      </c>
      <c r="V266" s="55">
        <f t="shared" si="89"/>
        <v>0.85848610143347226</v>
      </c>
      <c r="W266" s="55">
        <f t="shared" si="89"/>
        <v>0.8670247549127591</v>
      </c>
      <c r="X266" s="55">
        <f t="shared" si="89"/>
        <v>0.8756862182636983</v>
      </c>
      <c r="Y266" s="55">
        <f t="shared" si="89"/>
        <v>0.88439645200379891</v>
      </c>
      <c r="Z266" s="55">
        <f t="shared" si="89"/>
        <v>0.89319375064881357</v>
      </c>
      <c r="AA266" s="55">
        <f t="shared" si="89"/>
        <v>0.90207898484779125</v>
      </c>
      <c r="AB266" s="55">
        <f t="shared" si="89"/>
        <v>0.91105303395627157</v>
      </c>
      <c r="AC266" s="270">
        <f t="shared" si="89"/>
        <v>0.92011678612335024</v>
      </c>
      <c r="AD266" s="353">
        <f t="shared" si="65"/>
        <v>16.573831516381311</v>
      </c>
    </row>
    <row r="267" spans="1:30" s="110" customFormat="1" ht="12">
      <c r="A267" s="58"/>
      <c r="C267" s="49" t="s">
        <v>41</v>
      </c>
      <c r="D267" s="308">
        <f>D253</f>
        <v>-291400</v>
      </c>
      <c r="E267" s="217"/>
      <c r="F267" s="255">
        <f>F266*$D$267</f>
        <v>0</v>
      </c>
      <c r="G267" s="255">
        <f t="shared" ref="G267:AC267" si="90">G266*$D$267</f>
        <v>0</v>
      </c>
      <c r="H267" s="255">
        <f t="shared" si="90"/>
        <v>0</v>
      </c>
      <c r="I267" s="255">
        <f t="shared" si="90"/>
        <v>0</v>
      </c>
      <c r="J267" s="255">
        <f t="shared" si="90"/>
        <v>-164253.47836606627</v>
      </c>
      <c r="K267" s="255">
        <f t="shared" si="90"/>
        <v>-224279.52516071664</v>
      </c>
      <c r="L267" s="255">
        <f t="shared" si="90"/>
        <v>-226552.979824137</v>
      </c>
      <c r="M267" s="255">
        <f t="shared" si="90"/>
        <v>-227447.9455139068</v>
      </c>
      <c r="N267" s="255">
        <f t="shared" si="90"/>
        <v>-231123.84661262666</v>
      </c>
      <c r="O267" s="255">
        <f t="shared" si="90"/>
        <v>-233421.70681286333</v>
      </c>
      <c r="P267" s="255">
        <f t="shared" si="90"/>
        <v>-235742.53478887447</v>
      </c>
      <c r="Q267" s="255">
        <f t="shared" si="90"/>
        <v>-238086.56021841784</v>
      </c>
      <c r="R267" s="255">
        <f t="shared" si="90"/>
        <v>-240454.01507602874</v>
      </c>
      <c r="S267" s="255">
        <f t="shared" si="90"/>
        <v>-242845.13365598777</v>
      </c>
      <c r="T267" s="255">
        <f t="shared" si="90"/>
        <v>-245260.15259551851</v>
      </c>
      <c r="U267" s="255">
        <f t="shared" si="90"/>
        <v>-247699.31089821659</v>
      </c>
      <c r="V267" s="255">
        <f t="shared" si="90"/>
        <v>-250162.84995771383</v>
      </c>
      <c r="W267" s="255">
        <f t="shared" si="90"/>
        <v>-252651.01358157801</v>
      </c>
      <c r="X267" s="255">
        <f t="shared" si="90"/>
        <v>-255174.9640020417</v>
      </c>
      <c r="Y267" s="255">
        <f t="shared" si="90"/>
        <v>-257713.126113907</v>
      </c>
      <c r="Z267" s="255">
        <f t="shared" si="90"/>
        <v>-260276.65893906428</v>
      </c>
      <c r="AA267" s="255">
        <f t="shared" si="90"/>
        <v>-262865.81618464639</v>
      </c>
      <c r="AB267" s="255">
        <f t="shared" si="90"/>
        <v>-265480.85409485752</v>
      </c>
      <c r="AC267" s="268">
        <f t="shared" si="90"/>
        <v>-268122.03147634427</v>
      </c>
      <c r="AD267" s="346">
        <f t="shared" ref="AD267:AD291" si="91">SUM(F267:AC267)</f>
        <v>-4829614.5038735131</v>
      </c>
    </row>
    <row r="268" spans="1:30" s="110" customFormat="1" ht="12">
      <c r="A268" s="58"/>
      <c r="B268" s="58"/>
      <c r="C268" s="49"/>
      <c r="D268" s="210"/>
      <c r="E268" s="217"/>
      <c r="F268" s="255"/>
      <c r="G268" s="255"/>
      <c r="H268" s="255"/>
      <c r="I268" s="255"/>
      <c r="J268" s="255"/>
      <c r="K268" s="255"/>
      <c r="L268" s="255"/>
      <c r="M268" s="255"/>
      <c r="N268" s="255"/>
      <c r="O268" s="255"/>
      <c r="P268" s="255"/>
      <c r="Q268" s="255"/>
      <c r="R268" s="255"/>
      <c r="S268" s="255"/>
      <c r="T268" s="255"/>
      <c r="U268" s="255"/>
      <c r="V268" s="255"/>
      <c r="W268" s="255"/>
      <c r="X268" s="255"/>
      <c r="Y268" s="255"/>
      <c r="Z268" s="255"/>
      <c r="AA268" s="255"/>
      <c r="AB268" s="255"/>
      <c r="AC268" s="268"/>
      <c r="AD268" s="346"/>
    </row>
    <row r="269" spans="1:30" s="110" customFormat="1" ht="12">
      <c r="A269" s="58"/>
      <c r="B269" s="445" t="s">
        <v>588</v>
      </c>
      <c r="C269" s="78" t="s">
        <v>586</v>
      </c>
      <c r="D269" s="443">
        <v>-0.2</v>
      </c>
      <c r="E269" s="217"/>
      <c r="F269" s="45"/>
      <c r="G269" s="255"/>
      <c r="H269" s="255"/>
      <c r="I269" s="255"/>
      <c r="J269" s="255"/>
      <c r="K269" s="255"/>
      <c r="L269" s="255"/>
      <c r="M269" s="255"/>
      <c r="N269" s="255"/>
      <c r="O269" s="255"/>
      <c r="P269" s="255"/>
      <c r="Q269" s="255"/>
      <c r="R269" s="255"/>
      <c r="S269" s="255"/>
      <c r="T269" s="255"/>
      <c r="U269" s="255"/>
      <c r="V269" s="255"/>
      <c r="W269" s="255"/>
      <c r="X269" s="255"/>
      <c r="Y269" s="255"/>
      <c r="Z269" s="255"/>
      <c r="AA269" s="255"/>
      <c r="AB269" s="255"/>
      <c r="AC269" s="268"/>
      <c r="AD269" s="346"/>
    </row>
    <row r="270" spans="1:30" s="110" customFormat="1" ht="12">
      <c r="A270" s="58"/>
      <c r="C270" s="78" t="s">
        <v>542</v>
      </c>
      <c r="D270" s="210">
        <f>D264*D$269</f>
        <v>-3.7445181332811299E-8</v>
      </c>
      <c r="E270" s="217"/>
      <c r="F270" s="55">
        <f>$D$270*(F$15+F$16+F$17+F$20+F$21+F$23+F$24+F$25+F$26)</f>
        <v>0</v>
      </c>
      <c r="G270" s="55">
        <f t="shared" ref="G270:AC270" si="92">$D$270*(G$15+G$16+G$17+G$20+G$21+G$23+G$24+G$25+G$26)</f>
        <v>0</v>
      </c>
      <c r="H270" s="55">
        <f t="shared" si="92"/>
        <v>0</v>
      </c>
      <c r="I270" s="55">
        <f t="shared" si="92"/>
        <v>0</v>
      </c>
      <c r="J270" s="55">
        <f t="shared" si="92"/>
        <v>-2.5603991437034052E-3</v>
      </c>
      <c r="K270" s="55">
        <f t="shared" si="92"/>
        <v>-3.4979464687274774E-3</v>
      </c>
      <c r="L270" s="55">
        <f t="shared" si="92"/>
        <v>-3.5378858626000475E-3</v>
      </c>
      <c r="M270" s="55">
        <f t="shared" si="92"/>
        <v>-3.3515415856569253E-3</v>
      </c>
      <c r="N270" s="55">
        <f t="shared" si="92"/>
        <v>-3.6117721176824697E-3</v>
      </c>
      <c r="O270" s="55">
        <f t="shared" si="92"/>
        <v>-3.6457255686561134E-3</v>
      </c>
      <c r="P270" s="55">
        <f t="shared" si="92"/>
        <v>-3.6800168027254707E-3</v>
      </c>
      <c r="Q270" s="55">
        <f t="shared" si="92"/>
        <v>-3.714649197721498E-3</v>
      </c>
      <c r="R270" s="55">
        <f t="shared" si="92"/>
        <v>-3.7496261652534618E-3</v>
      </c>
      <c r="S270" s="55">
        <f t="shared" si="92"/>
        <v>-3.7849511510467219E-3</v>
      </c>
      <c r="T270" s="55">
        <f t="shared" si="92"/>
        <v>-3.8206276352838911E-3</v>
      </c>
      <c r="U270" s="55">
        <f t="shared" si="92"/>
        <v>-3.856659132949409E-3</v>
      </c>
      <c r="V270" s="55">
        <f t="shared" si="92"/>
        <v>-3.8930491941775581E-3</v>
      </c>
      <c r="W270" s="55">
        <f t="shared" si="92"/>
        <v>-3.9298014046039659E-3</v>
      </c>
      <c r="X270" s="55">
        <f t="shared" si="92"/>
        <v>-3.9686853204618684E-3</v>
      </c>
      <c r="Y270" s="55">
        <f t="shared" si="92"/>
        <v>-4.0061740500409214E-3</v>
      </c>
      <c r="Z270" s="55">
        <f t="shared" si="92"/>
        <v>-4.0440359023010894E-3</v>
      </c>
      <c r="AA270" s="55">
        <f t="shared" si="92"/>
        <v>-4.0822746084691825E-3</v>
      </c>
      <c r="AB270" s="55">
        <f t="shared" si="92"/>
        <v>-4.1208939370842804E-3</v>
      </c>
      <c r="AC270" s="270">
        <f t="shared" si="92"/>
        <v>-4.1598976943708534E-3</v>
      </c>
      <c r="AD270" s="353">
        <f t="shared" ref="AD270:AD272" si="93">SUM(F270:AC270)</f>
        <v>-7.5016612943516608E-2</v>
      </c>
    </row>
    <row r="271" spans="1:30" s="110" customFormat="1" ht="12">
      <c r="A271" s="58"/>
      <c r="B271" s="58"/>
      <c r="C271" s="49" t="s">
        <v>40</v>
      </c>
      <c r="D271" s="308">
        <f>D265</f>
        <v>-6200000</v>
      </c>
      <c r="E271" s="217"/>
      <c r="F271" s="315">
        <f>F270*$D$271</f>
        <v>0</v>
      </c>
      <c r="G271" s="315">
        <f t="shared" ref="G271:AC271" si="94">G270*$D$271</f>
        <v>0</v>
      </c>
      <c r="H271" s="315">
        <f t="shared" si="94"/>
        <v>0</v>
      </c>
      <c r="I271" s="315">
        <f t="shared" si="94"/>
        <v>0</v>
      </c>
      <c r="J271" s="315">
        <f t="shared" si="94"/>
        <v>15874.474690961111</v>
      </c>
      <c r="K271" s="315">
        <f t="shared" si="94"/>
        <v>21687.268106110361</v>
      </c>
      <c r="L271" s="315">
        <f t="shared" si="94"/>
        <v>21934.892348120295</v>
      </c>
      <c r="M271" s="315">
        <f t="shared" si="94"/>
        <v>20779.557831072936</v>
      </c>
      <c r="N271" s="315">
        <f t="shared" si="94"/>
        <v>22392.987129631314</v>
      </c>
      <c r="O271" s="315">
        <f t="shared" si="94"/>
        <v>22603.498525667903</v>
      </c>
      <c r="P271" s="315">
        <f t="shared" si="94"/>
        <v>22816.104176897919</v>
      </c>
      <c r="Q271" s="315">
        <f t="shared" si="94"/>
        <v>23030.825025873288</v>
      </c>
      <c r="R271" s="315">
        <f t="shared" si="94"/>
        <v>23247.682224571465</v>
      </c>
      <c r="S271" s="315">
        <f t="shared" si="94"/>
        <v>23466.697136489674</v>
      </c>
      <c r="T271" s="315">
        <f t="shared" si="94"/>
        <v>23687.891338760124</v>
      </c>
      <c r="U271" s="315">
        <f t="shared" si="94"/>
        <v>23911.286624286335</v>
      </c>
      <c r="V271" s="315">
        <f t="shared" si="94"/>
        <v>24136.905003900862</v>
      </c>
      <c r="W271" s="315">
        <f t="shared" si="94"/>
        <v>24364.768708544587</v>
      </c>
      <c r="X271" s="315">
        <f t="shared" si="94"/>
        <v>24605.848986863584</v>
      </c>
      <c r="Y271" s="315">
        <f t="shared" si="94"/>
        <v>24838.279110253712</v>
      </c>
      <c r="Z271" s="315">
        <f t="shared" si="94"/>
        <v>25073.022594266753</v>
      </c>
      <c r="AA271" s="315">
        <f t="shared" si="94"/>
        <v>25310.102572508931</v>
      </c>
      <c r="AB271" s="315">
        <f t="shared" si="94"/>
        <v>25549.542409922538</v>
      </c>
      <c r="AC271" s="390">
        <f t="shared" si="94"/>
        <v>25791.365705099292</v>
      </c>
      <c r="AD271" s="346">
        <f t="shared" si="93"/>
        <v>465103.00024980301</v>
      </c>
    </row>
    <row r="272" spans="1:30" s="110" customFormat="1" ht="12">
      <c r="A272" s="58"/>
      <c r="B272" s="58"/>
      <c r="C272" s="78" t="s">
        <v>543</v>
      </c>
      <c r="D272" s="210">
        <f>D266*D$269</f>
        <v>-1.7475009251600567E-6</v>
      </c>
      <c r="E272" s="217"/>
      <c r="F272" s="55">
        <f>$D$272*(F$15+F$16+F$17+F$20+F$21+F$23+F$24+F$25+F$26)</f>
        <v>0</v>
      </c>
      <c r="G272" s="55">
        <f t="shared" ref="G272:AC272" si="95">$D$272*(G$15+G$16+G$17+G$20+G$21+G$23+G$24+G$25+G$26)</f>
        <v>0</v>
      </c>
      <c r="H272" s="55">
        <f t="shared" si="95"/>
        <v>0</v>
      </c>
      <c r="I272" s="55">
        <f t="shared" si="95"/>
        <v>0</v>
      </c>
      <c r="J272" s="55">
        <f t="shared" si="95"/>
        <v>-0.11948933649521726</v>
      </c>
      <c r="K272" s="55">
        <f t="shared" si="95"/>
        <v>-0.16324302547589492</v>
      </c>
      <c r="L272" s="55">
        <f t="shared" si="95"/>
        <v>-0.16510692692485096</v>
      </c>
      <c r="M272" s="55">
        <f t="shared" si="95"/>
        <v>-0.15641056641154108</v>
      </c>
      <c r="N272" s="55">
        <f t="shared" si="95"/>
        <v>-0.16855506883570365</v>
      </c>
      <c r="O272" s="55">
        <f t="shared" si="95"/>
        <v>-0.17013961683031642</v>
      </c>
      <c r="P272" s="55">
        <f t="shared" si="95"/>
        <v>-0.1717399285694553</v>
      </c>
      <c r="Q272" s="55">
        <f t="shared" si="95"/>
        <v>-0.1733561616905655</v>
      </c>
      <c r="R272" s="55">
        <f t="shared" si="95"/>
        <v>-0.17498847540746668</v>
      </c>
      <c r="S272" s="55">
        <f t="shared" si="95"/>
        <v>-0.17663703052611679</v>
      </c>
      <c r="T272" s="55">
        <f t="shared" si="95"/>
        <v>-0.17830198946053333</v>
      </c>
      <c r="U272" s="55">
        <f t="shared" si="95"/>
        <v>-0.17998351624887396</v>
      </c>
      <c r="V272" s="55">
        <f t="shared" si="95"/>
        <v>-0.18168177656967791</v>
      </c>
      <c r="W272" s="55">
        <f t="shared" si="95"/>
        <v>-0.18339693775826982</v>
      </c>
      <c r="X272" s="55">
        <f t="shared" si="95"/>
        <v>-0.18521158189983764</v>
      </c>
      <c r="Y272" s="55">
        <f t="shared" si="95"/>
        <v>-0.18696111514525596</v>
      </c>
      <c r="Z272" s="55">
        <f t="shared" si="95"/>
        <v>-0.18872806137165707</v>
      </c>
      <c r="AA272" s="55">
        <f t="shared" si="95"/>
        <v>-0.19051259470885079</v>
      </c>
      <c r="AB272" s="55">
        <f t="shared" si="95"/>
        <v>-0.19231489102794508</v>
      </c>
      <c r="AC272" s="270">
        <f t="shared" si="95"/>
        <v>-0.19413512795875892</v>
      </c>
      <c r="AD272" s="353">
        <f t="shared" si="93"/>
        <v>-3.5008937293167883</v>
      </c>
    </row>
    <row r="273" spans="1:60" s="110" customFormat="1" ht="12">
      <c r="A273" s="58"/>
      <c r="B273" s="58"/>
      <c r="C273" s="49" t="s">
        <v>41</v>
      </c>
      <c r="D273" s="308">
        <f>D267</f>
        <v>-291400</v>
      </c>
      <c r="E273" s="217"/>
      <c r="F273" s="315">
        <f>F272*$D$273</f>
        <v>0</v>
      </c>
      <c r="G273" s="315">
        <f t="shared" ref="G273:AC273" si="96">G272*$D$273</f>
        <v>0</v>
      </c>
      <c r="H273" s="315">
        <f t="shared" si="96"/>
        <v>0</v>
      </c>
      <c r="I273" s="315">
        <f t="shared" si="96"/>
        <v>0</v>
      </c>
      <c r="J273" s="315">
        <f t="shared" si="96"/>
        <v>34819.192654706312</v>
      </c>
      <c r="K273" s="315">
        <f t="shared" si="96"/>
        <v>47569.017623675783</v>
      </c>
      <c r="L273" s="315">
        <f t="shared" si="96"/>
        <v>48112.158505901571</v>
      </c>
      <c r="M273" s="315">
        <f t="shared" si="96"/>
        <v>45578.039052323067</v>
      </c>
      <c r="N273" s="315">
        <f t="shared" si="96"/>
        <v>49116.947058724043</v>
      </c>
      <c r="O273" s="315">
        <f t="shared" si="96"/>
        <v>49578.684344354202</v>
      </c>
      <c r="P273" s="315">
        <f t="shared" si="96"/>
        <v>50045.015185139273</v>
      </c>
      <c r="Q273" s="315">
        <f t="shared" si="96"/>
        <v>50515.98551663079</v>
      </c>
      <c r="R273" s="315">
        <f t="shared" si="96"/>
        <v>50991.641733735793</v>
      </c>
      <c r="S273" s="315">
        <f t="shared" si="96"/>
        <v>51472.03069531043</v>
      </c>
      <c r="T273" s="315">
        <f t="shared" si="96"/>
        <v>51957.199728799409</v>
      </c>
      <c r="U273" s="315">
        <f t="shared" si="96"/>
        <v>52447.196634921871</v>
      </c>
      <c r="V273" s="315">
        <f t="shared" si="96"/>
        <v>52942.06969240414</v>
      </c>
      <c r="W273" s="315">
        <f t="shared" si="96"/>
        <v>53441.867662759825</v>
      </c>
      <c r="X273" s="315">
        <f t="shared" si="96"/>
        <v>53970.654965612688</v>
      </c>
      <c r="Y273" s="315">
        <f t="shared" si="96"/>
        <v>54480.468953327589</v>
      </c>
      <c r="Z273" s="315">
        <f t="shared" si="96"/>
        <v>54995.357083700866</v>
      </c>
      <c r="AA273" s="315">
        <f t="shared" si="96"/>
        <v>55515.370098159117</v>
      </c>
      <c r="AB273" s="315">
        <f t="shared" si="96"/>
        <v>56040.559245543198</v>
      </c>
      <c r="AC273" s="390">
        <f t="shared" si="96"/>
        <v>56570.976287182348</v>
      </c>
      <c r="AD273" s="346">
        <f t="shared" si="91"/>
        <v>1020160.4327229122</v>
      </c>
    </row>
    <row r="274" spans="1:60" s="110" customFormat="1" ht="12">
      <c r="A274" s="58"/>
      <c r="B274" s="58"/>
      <c r="C274" s="49"/>
      <c r="D274" s="210"/>
      <c r="E274" s="217"/>
      <c r="F274" s="255"/>
      <c r="G274" s="255"/>
      <c r="H274" s="255"/>
      <c r="I274" s="255"/>
      <c r="J274" s="255"/>
      <c r="K274" s="255"/>
      <c r="L274" s="255"/>
      <c r="M274" s="255"/>
      <c r="N274" s="255"/>
      <c r="O274" s="255"/>
      <c r="P274" s="255"/>
      <c r="Q274" s="255"/>
      <c r="R274" s="255"/>
      <c r="S274" s="255"/>
      <c r="T274" s="255"/>
      <c r="U274" s="255"/>
      <c r="V274" s="255"/>
      <c r="W274" s="255"/>
      <c r="X274" s="255"/>
      <c r="Y274" s="255"/>
      <c r="Z274" s="255"/>
      <c r="AA274" s="255"/>
      <c r="AB274" s="255"/>
      <c r="AC274" s="268"/>
      <c r="AD274" s="346"/>
    </row>
    <row r="275" spans="1:60" s="110" customFormat="1" ht="12">
      <c r="A275" s="58"/>
      <c r="B275" s="58" t="s">
        <v>528</v>
      </c>
      <c r="C275" s="78" t="s">
        <v>529</v>
      </c>
      <c r="D275" s="210"/>
      <c r="E275" s="217"/>
      <c r="AC275" s="262"/>
      <c r="AD275" s="337"/>
    </row>
    <row r="276" spans="1:60" s="110" customFormat="1" ht="12">
      <c r="A276" s="58"/>
      <c r="B276" s="58"/>
      <c r="C276" s="78" t="s">
        <v>542</v>
      </c>
      <c r="D276" s="210">
        <f>'Mode Operating Assumptions'!$D$184</f>
        <v>8.6836127924972328E-9</v>
      </c>
      <c r="E276" s="217"/>
      <c r="F276" s="55">
        <f>$D276*F$37</f>
        <v>0</v>
      </c>
      <c r="G276" s="55">
        <f t="shared" ref="G276:AC276" si="97">$D276*G$37</f>
        <v>0</v>
      </c>
      <c r="H276" s="55">
        <f t="shared" si="97"/>
        <v>0</v>
      </c>
      <c r="I276" s="55">
        <f t="shared" si="97"/>
        <v>0</v>
      </c>
      <c r="J276" s="55">
        <f t="shared" si="97"/>
        <v>-1.6560472927362362E-3</v>
      </c>
      <c r="K276" s="55">
        <f t="shared" si="97"/>
        <v>-2.2688378334711824E-3</v>
      </c>
      <c r="L276" s="55">
        <f t="shared" si="97"/>
        <v>-2.3101740084056194E-3</v>
      </c>
      <c r="M276" s="55">
        <f t="shared" si="97"/>
        <v>-1.499665473204995E-3</v>
      </c>
      <c r="N276" s="55">
        <f t="shared" si="97"/>
        <v>-2.3670407032070984E-3</v>
      </c>
      <c r="O276" s="55">
        <f t="shared" si="97"/>
        <v>-2.3825741250065135E-3</v>
      </c>
      <c r="P276" s="55">
        <f t="shared" si="97"/>
        <v>-2.3982562962499782E-3</v>
      </c>
      <c r="Q276" s="55">
        <f t="shared" si="97"/>
        <v>-2.4140887044319316E-3</v>
      </c>
      <c r="R276" s="55">
        <f t="shared" si="97"/>
        <v>-2.430072851921759E-3</v>
      </c>
      <c r="S276" s="55">
        <f t="shared" si="97"/>
        <v>-2.4462102561125399E-3</v>
      </c>
      <c r="T276" s="55">
        <f t="shared" si="97"/>
        <v>-2.4625024495712822E-3</v>
      </c>
      <c r="U276" s="55">
        <f t="shared" si="97"/>
        <v>-2.4789509801906679E-3</v>
      </c>
      <c r="V276" s="55">
        <f t="shared" si="97"/>
        <v>-2.4955574113423025E-3</v>
      </c>
      <c r="W276" s="55">
        <f t="shared" si="97"/>
        <v>-2.5123233220315068E-3</v>
      </c>
      <c r="X276" s="55">
        <f t="shared" si="97"/>
        <v>-2.5358896743980421E-3</v>
      </c>
      <c r="Y276" s="55">
        <f t="shared" si="97"/>
        <v>-2.55298430753275E-3</v>
      </c>
      <c r="Z276" s="55">
        <f t="shared" si="97"/>
        <v>-2.5702432525944981E-3</v>
      </c>
      <c r="AA276" s="55">
        <f t="shared" si="97"/>
        <v>-2.5876681527025542E-3</v>
      </c>
      <c r="AB276" s="55">
        <f t="shared" si="97"/>
        <v>-2.6052606674073823E-3</v>
      </c>
      <c r="AC276" s="270">
        <f t="shared" si="97"/>
        <v>-2.6230224728549523E-3</v>
      </c>
      <c r="AD276" s="353">
        <f t="shared" si="91"/>
        <v>-4.7597370235373797E-2</v>
      </c>
    </row>
    <row r="277" spans="1:60" s="110" customFormat="1" ht="12">
      <c r="A277" s="58"/>
      <c r="B277" s="58"/>
      <c r="C277" s="49" t="s">
        <v>40</v>
      </c>
      <c r="D277" s="308">
        <f>D265</f>
        <v>-6200000</v>
      </c>
      <c r="E277" s="217"/>
      <c r="F277" s="255">
        <f>F276*$D$277</f>
        <v>0</v>
      </c>
      <c r="G277" s="255">
        <f t="shared" ref="G277:AC277" si="98">G276*$D$277</f>
        <v>0</v>
      </c>
      <c r="H277" s="255">
        <f t="shared" si="98"/>
        <v>0</v>
      </c>
      <c r="I277" s="255">
        <f t="shared" si="98"/>
        <v>0</v>
      </c>
      <c r="J277" s="255">
        <f t="shared" si="98"/>
        <v>10267.493214964665</v>
      </c>
      <c r="K277" s="255">
        <f t="shared" si="98"/>
        <v>14066.79456752133</v>
      </c>
      <c r="L277" s="255">
        <f t="shared" si="98"/>
        <v>14323.078852114841</v>
      </c>
      <c r="M277" s="255">
        <f t="shared" si="98"/>
        <v>9297.9259338709689</v>
      </c>
      <c r="N277" s="255">
        <f t="shared" si="98"/>
        <v>14675.65235988401</v>
      </c>
      <c r="O277" s="255">
        <f t="shared" si="98"/>
        <v>14771.959575040384</v>
      </c>
      <c r="P277" s="255">
        <f t="shared" si="98"/>
        <v>14869.189036749865</v>
      </c>
      <c r="Q277" s="255">
        <f t="shared" si="98"/>
        <v>14967.349967477976</v>
      </c>
      <c r="R277" s="255">
        <f t="shared" si="98"/>
        <v>15066.451681914905</v>
      </c>
      <c r="S277" s="255">
        <f t="shared" si="98"/>
        <v>15166.503587897747</v>
      </c>
      <c r="T277" s="255">
        <f t="shared" si="98"/>
        <v>15267.515187341949</v>
      </c>
      <c r="U277" s="255">
        <f t="shared" si="98"/>
        <v>15369.496077182141</v>
      </c>
      <c r="V277" s="255">
        <f t="shared" si="98"/>
        <v>15472.455950322275</v>
      </c>
      <c r="W277" s="255">
        <f t="shared" si="98"/>
        <v>15576.404596595343</v>
      </c>
      <c r="X277" s="255">
        <f t="shared" si="98"/>
        <v>15722.515981267861</v>
      </c>
      <c r="Y277" s="255">
        <f t="shared" si="98"/>
        <v>15828.50270670305</v>
      </c>
      <c r="Z277" s="255">
        <f t="shared" si="98"/>
        <v>15935.508166085889</v>
      </c>
      <c r="AA277" s="255">
        <f t="shared" si="98"/>
        <v>16043.542546755836</v>
      </c>
      <c r="AB277" s="255">
        <f t="shared" si="98"/>
        <v>16152.61613792577</v>
      </c>
      <c r="AC277" s="268">
        <f t="shared" si="98"/>
        <v>16262.739331700704</v>
      </c>
      <c r="AD277" s="346">
        <f t="shared" si="91"/>
        <v>295103.69545931753</v>
      </c>
    </row>
    <row r="278" spans="1:60" s="110" customFormat="1" ht="12">
      <c r="A278" s="58"/>
      <c r="B278" s="58"/>
      <c r="C278" s="78" t="s">
        <v>543</v>
      </c>
      <c r="D278" s="210">
        <f>'Mode Operating Assumptions'!$D$185</f>
        <v>8.1339537419145546E-7</v>
      </c>
      <c r="E278" s="217"/>
      <c r="F278" s="55">
        <f>$D278*F$37</f>
        <v>0</v>
      </c>
      <c r="G278" s="55">
        <f t="shared" ref="G278:AC278" si="99">$D278*G$37</f>
        <v>0</v>
      </c>
      <c r="H278" s="55">
        <f t="shared" si="99"/>
        <v>0</v>
      </c>
      <c r="I278" s="55">
        <f t="shared" si="99"/>
        <v>0</v>
      </c>
      <c r="J278" s="55">
        <f t="shared" si="99"/>
        <v>-0.15512221002274348</v>
      </c>
      <c r="K278" s="55">
        <f t="shared" si="99"/>
        <v>-0.21252239622320901</v>
      </c>
      <c r="L278" s="55">
        <f t="shared" si="99"/>
        <v>-0.21639436222191066</v>
      </c>
      <c r="M278" s="55">
        <f t="shared" si="99"/>
        <v>-0.14047390042466265</v>
      </c>
      <c r="N278" s="55">
        <f t="shared" si="99"/>
        <v>-0.2217210744559068</v>
      </c>
      <c r="O278" s="55">
        <f t="shared" si="99"/>
        <v>-0.22317609251566248</v>
      </c>
      <c r="P278" s="55">
        <f t="shared" si="99"/>
        <v>-0.22464504395920606</v>
      </c>
      <c r="Q278" s="55">
        <f t="shared" si="99"/>
        <v>-0.22612806812037534</v>
      </c>
      <c r="R278" s="55">
        <f t="shared" si="99"/>
        <v>-0.22762530572634657</v>
      </c>
      <c r="S278" s="55">
        <f t="shared" si="99"/>
        <v>-0.22913689891156783</v>
      </c>
      <c r="T278" s="55">
        <f t="shared" si="99"/>
        <v>-0.23066299123183148</v>
      </c>
      <c r="U278" s="55">
        <f t="shared" si="99"/>
        <v>-0.23220372767848818</v>
      </c>
      <c r="V278" s="55">
        <f t="shared" si="99"/>
        <v>-0.23375925469280176</v>
      </c>
      <c r="W278" s="55">
        <f t="shared" si="99"/>
        <v>-0.23532972018044862</v>
      </c>
      <c r="X278" s="55">
        <f t="shared" si="99"/>
        <v>-0.23753718410814331</v>
      </c>
      <c r="Y278" s="55">
        <f t="shared" si="99"/>
        <v>-0.23913844107889232</v>
      </c>
      <c r="Z278" s="55">
        <f t="shared" si="99"/>
        <v>-0.24075508917365529</v>
      </c>
      <c r="AA278" s="55">
        <f t="shared" si="99"/>
        <v>-0.24238728230367224</v>
      </c>
      <c r="AB278" s="55">
        <f t="shared" si="99"/>
        <v>-0.24403517591929566</v>
      </c>
      <c r="AC278" s="270">
        <f t="shared" si="99"/>
        <v>-0.24569892702538193</v>
      </c>
      <c r="AD278" s="353">
        <f t="shared" si="91"/>
        <v>-4.4584531459742012</v>
      </c>
    </row>
    <row r="279" spans="1:60" s="110" customFormat="1" ht="12">
      <c r="A279" s="58"/>
      <c r="B279" s="58"/>
      <c r="C279" s="49" t="s">
        <v>41</v>
      </c>
      <c r="D279" s="308">
        <f>D267</f>
        <v>-291400</v>
      </c>
      <c r="E279" s="217"/>
      <c r="F279" s="255">
        <f>F278*$D$279</f>
        <v>0</v>
      </c>
      <c r="G279" s="255">
        <f t="shared" ref="G279:AC279" si="100">G278*$D$279</f>
        <v>0</v>
      </c>
      <c r="H279" s="255">
        <f t="shared" si="100"/>
        <v>0</v>
      </c>
      <c r="I279" s="255">
        <f t="shared" si="100"/>
        <v>0</v>
      </c>
      <c r="J279" s="255">
        <f t="shared" si="100"/>
        <v>45202.61200062745</v>
      </c>
      <c r="K279" s="255">
        <f t="shared" si="100"/>
        <v>61929.026259443104</v>
      </c>
      <c r="L279" s="255">
        <f t="shared" si="100"/>
        <v>63057.317151464769</v>
      </c>
      <c r="M279" s="255">
        <f t="shared" si="100"/>
        <v>40934.094583746693</v>
      </c>
      <c r="N279" s="255">
        <f t="shared" si="100"/>
        <v>64609.521096451244</v>
      </c>
      <c r="O279" s="255">
        <f t="shared" si="100"/>
        <v>65033.513359064047</v>
      </c>
      <c r="P279" s="255">
        <f t="shared" si="100"/>
        <v>65461.565809712651</v>
      </c>
      <c r="Q279" s="255">
        <f t="shared" si="100"/>
        <v>65893.719050277374</v>
      </c>
      <c r="R279" s="255">
        <f t="shared" si="100"/>
        <v>66330.014088657394</v>
      </c>
      <c r="S279" s="255">
        <f t="shared" si="100"/>
        <v>66770.492342830868</v>
      </c>
      <c r="T279" s="255">
        <f t="shared" si="100"/>
        <v>67215.195644955689</v>
      </c>
      <c r="U279" s="255">
        <f t="shared" si="100"/>
        <v>67664.166245511457</v>
      </c>
      <c r="V279" s="255">
        <f t="shared" si="100"/>
        <v>68117.446817482429</v>
      </c>
      <c r="W279" s="255">
        <f t="shared" si="100"/>
        <v>68575.080460582729</v>
      </c>
      <c r="X279" s="255">
        <f t="shared" si="100"/>
        <v>69218.335449112958</v>
      </c>
      <c r="Y279" s="255">
        <f t="shared" si="100"/>
        <v>69684.941730389226</v>
      </c>
      <c r="Z279" s="255">
        <f t="shared" si="100"/>
        <v>70156.032985203157</v>
      </c>
      <c r="AA279" s="255">
        <f t="shared" si="100"/>
        <v>70631.654063290087</v>
      </c>
      <c r="AB279" s="255">
        <f t="shared" si="100"/>
        <v>71111.850262882755</v>
      </c>
      <c r="AC279" s="268">
        <f t="shared" si="100"/>
        <v>71596.667335196296</v>
      </c>
      <c r="AD279" s="346">
        <f t="shared" si="91"/>
        <v>1299193.2467368825</v>
      </c>
    </row>
    <row r="280" spans="1:60" s="110" customFormat="1" ht="12">
      <c r="A280" s="58"/>
      <c r="B280" s="58"/>
      <c r="C280" s="78" t="s">
        <v>554</v>
      </c>
      <c r="D280" s="210">
        <f>'Mode Operating Assumptions'!$D$183</f>
        <v>1.8640215942009768E-6</v>
      </c>
      <c r="E280" s="217"/>
      <c r="F280" s="55">
        <f>$D280*F$37</f>
        <v>0</v>
      </c>
      <c r="G280" s="55">
        <f t="shared" ref="G280:AC280" si="101">$D280*G$37</f>
        <v>0</v>
      </c>
      <c r="H280" s="55">
        <f t="shared" si="101"/>
        <v>0</v>
      </c>
      <c r="I280" s="55">
        <f t="shared" si="101"/>
        <v>0</v>
      </c>
      <c r="J280" s="55">
        <f t="shared" si="101"/>
        <v>-0.35548659163448004</v>
      </c>
      <c r="K280" s="55">
        <f t="shared" si="101"/>
        <v>-0.48702801660899725</v>
      </c>
      <c r="L280" s="55">
        <f t="shared" si="101"/>
        <v>-0.49590122693523769</v>
      </c>
      <c r="M280" s="55">
        <f t="shared" si="101"/>
        <v>-0.3219177193790827</v>
      </c>
      <c r="N280" s="55">
        <f t="shared" si="101"/>
        <v>-0.50810821377743998</v>
      </c>
      <c r="O280" s="55">
        <f t="shared" si="101"/>
        <v>-0.51144261322129347</v>
      </c>
      <c r="P280" s="55">
        <f t="shared" si="101"/>
        <v>-0.5148089431740791</v>
      </c>
      <c r="Q280" s="55">
        <f t="shared" si="101"/>
        <v>-0.5182075229408859</v>
      </c>
      <c r="R280" s="55">
        <f t="shared" si="101"/>
        <v>-0.52163867501985406</v>
      </c>
      <c r="S280" s="55">
        <f t="shared" si="101"/>
        <v>-0.5251027251341055</v>
      </c>
      <c r="T280" s="55">
        <f t="shared" si="101"/>
        <v>-0.52860000226399262</v>
      </c>
      <c r="U280" s="55">
        <f t="shared" si="101"/>
        <v>-0.53213083867967226</v>
      </c>
      <c r="V280" s="55">
        <f t="shared" si="101"/>
        <v>-0.53569556997400214</v>
      </c>
      <c r="W280" s="55">
        <f t="shared" si="101"/>
        <v>-0.53929453509576852</v>
      </c>
      <c r="X280" s="55">
        <f t="shared" si="101"/>
        <v>-0.54435328089172641</v>
      </c>
      <c r="Y280" s="55">
        <f t="shared" si="101"/>
        <v>-0.54802280947038096</v>
      </c>
      <c r="Z280" s="55">
        <f t="shared" si="101"/>
        <v>-0.55172760919567765</v>
      </c>
      <c r="AA280" s="55">
        <f t="shared" si="101"/>
        <v>-0.5554680327790823</v>
      </c>
      <c r="AB280" s="55">
        <f t="shared" si="101"/>
        <v>-0.55924443645917632</v>
      </c>
      <c r="AC280" s="270">
        <f t="shared" si="101"/>
        <v>-0.56305718003692695</v>
      </c>
      <c r="AD280" s="353">
        <f t="shared" si="91"/>
        <v>-10.217236542671859</v>
      </c>
    </row>
    <row r="281" spans="1:60" s="110" customFormat="1" ht="12">
      <c r="A281" s="58"/>
      <c r="B281" s="58"/>
      <c r="C281" s="49" t="s">
        <v>530</v>
      </c>
      <c r="D281" s="308">
        <f>-'Mode Operating Assumptions'!C172</f>
        <v>-3285</v>
      </c>
      <c r="E281" s="217"/>
      <c r="F281" s="255">
        <f>F280*$D$281</f>
        <v>0</v>
      </c>
      <c r="G281" s="255">
        <f t="shared" ref="G281:AC281" si="102">G280*$D$281</f>
        <v>0</v>
      </c>
      <c r="H281" s="255">
        <f t="shared" si="102"/>
        <v>0</v>
      </c>
      <c r="I281" s="255">
        <f t="shared" si="102"/>
        <v>0</v>
      </c>
      <c r="J281" s="255">
        <f t="shared" si="102"/>
        <v>1167.7734535192669</v>
      </c>
      <c r="K281" s="255">
        <f t="shared" si="102"/>
        <v>1599.887034560556</v>
      </c>
      <c r="L281" s="255">
        <f t="shared" si="102"/>
        <v>1629.0355304822558</v>
      </c>
      <c r="M281" s="255">
        <f t="shared" si="102"/>
        <v>1057.4997081602867</v>
      </c>
      <c r="N281" s="255">
        <f t="shared" si="102"/>
        <v>1669.1354822588903</v>
      </c>
      <c r="O281" s="255">
        <f t="shared" si="102"/>
        <v>1680.088984431949</v>
      </c>
      <c r="P281" s="255">
        <f t="shared" si="102"/>
        <v>1691.1473783268498</v>
      </c>
      <c r="Q281" s="255">
        <f t="shared" si="102"/>
        <v>1702.3117128608101</v>
      </c>
      <c r="R281" s="255">
        <f t="shared" si="102"/>
        <v>1713.5830474402205</v>
      </c>
      <c r="S281" s="255">
        <f t="shared" si="102"/>
        <v>1724.9624520655366</v>
      </c>
      <c r="T281" s="255">
        <f t="shared" si="102"/>
        <v>1736.4510074372158</v>
      </c>
      <c r="U281" s="255">
        <f t="shared" si="102"/>
        <v>1748.0498050627234</v>
      </c>
      <c r="V281" s="255">
        <f t="shared" si="102"/>
        <v>1759.7599473645971</v>
      </c>
      <c r="W281" s="255">
        <f t="shared" si="102"/>
        <v>1771.5825477895996</v>
      </c>
      <c r="X281" s="255">
        <f t="shared" si="102"/>
        <v>1788.2005277293213</v>
      </c>
      <c r="Y281" s="255">
        <f t="shared" si="102"/>
        <v>1800.2549291102014</v>
      </c>
      <c r="Z281" s="255">
        <f t="shared" si="102"/>
        <v>1812.425196207801</v>
      </c>
      <c r="AA281" s="255">
        <f t="shared" si="102"/>
        <v>1824.7124876792855</v>
      </c>
      <c r="AB281" s="255">
        <f t="shared" si="102"/>
        <v>1837.1179737683942</v>
      </c>
      <c r="AC281" s="268">
        <f t="shared" si="102"/>
        <v>1849.642836421305</v>
      </c>
      <c r="AD281" s="346">
        <f t="shared" si="91"/>
        <v>33563.622042677067</v>
      </c>
    </row>
    <row r="282" spans="1:60" s="110" customFormat="1" ht="12">
      <c r="A282" s="58"/>
      <c r="B282" s="58"/>
      <c r="D282" s="308"/>
      <c r="E282" s="217"/>
      <c r="F282" s="255"/>
      <c r="G282" s="255"/>
      <c r="H282" s="255"/>
      <c r="I282" s="255"/>
      <c r="J282" s="255"/>
      <c r="K282" s="255"/>
      <c r="L282" s="255"/>
      <c r="M282" s="255"/>
      <c r="N282" s="255"/>
      <c r="O282" s="255"/>
      <c r="P282" s="255"/>
      <c r="Q282" s="255"/>
      <c r="R282" s="255"/>
      <c r="S282" s="255"/>
      <c r="T282" s="255"/>
      <c r="U282" s="255"/>
      <c r="V282" s="255"/>
      <c r="W282" s="255"/>
      <c r="X282" s="255"/>
      <c r="Y282" s="255"/>
      <c r="Z282" s="255"/>
      <c r="AA282" s="255"/>
      <c r="AB282" s="255"/>
      <c r="AC282" s="268"/>
      <c r="AD282" s="346"/>
    </row>
    <row r="283" spans="1:60" s="5" customFormat="1" ht="12">
      <c r="A283" s="58"/>
      <c r="B283" s="58"/>
      <c r="C283" s="295" t="s">
        <v>520</v>
      </c>
      <c r="D283" s="212"/>
      <c r="E283" s="220"/>
      <c r="F283" s="83">
        <f>F257+F259+F251+F253+F265+F267+F271+F273+F277+F279+F281</f>
        <v>0</v>
      </c>
      <c r="G283" s="83">
        <f t="shared" ref="G283:AC283" si="103">G257+G259+G251+G253+G265+G267+G271+G273+G277+G279+G281</f>
        <v>0</v>
      </c>
      <c r="H283" s="83">
        <f t="shared" si="103"/>
        <v>0</v>
      </c>
      <c r="I283" s="83">
        <f t="shared" si="103"/>
        <v>0</v>
      </c>
      <c r="J283" s="83">
        <f t="shared" si="103"/>
        <v>236629.16934266381</v>
      </c>
      <c r="K283" s="83">
        <f t="shared" si="103"/>
        <v>327961.32352917048</v>
      </c>
      <c r="L283" s="83">
        <f t="shared" si="103"/>
        <v>343016.3738895015</v>
      </c>
      <c r="M283" s="83">
        <f t="shared" si="103"/>
        <v>-179949.45403241972</v>
      </c>
      <c r="N283" s="83">
        <f t="shared" si="103"/>
        <v>356498.57392388681</v>
      </c>
      <c r="O283" s="83">
        <f t="shared" si="103"/>
        <v>354925.33555808989</v>
      </c>
      <c r="P283" s="83">
        <f t="shared" si="103"/>
        <v>353332.20675215049</v>
      </c>
      <c r="Q283" s="83">
        <f t="shared" si="103"/>
        <v>351718.98860166682</v>
      </c>
      <c r="R283" s="83">
        <f t="shared" si="103"/>
        <v>350085.48021319386</v>
      </c>
      <c r="S283" s="83">
        <f t="shared" si="103"/>
        <v>348431.4786843516</v>
      </c>
      <c r="T283" s="83">
        <f t="shared" si="103"/>
        <v>346756.77908373612</v>
      </c>
      <c r="U283" s="83">
        <f t="shared" si="103"/>
        <v>345061.17443063</v>
      </c>
      <c r="V283" s="83">
        <f t="shared" si="103"/>
        <v>343344.4556745083</v>
      </c>
      <c r="W283" s="83">
        <f t="shared" si="103"/>
        <v>341606.41167434055</v>
      </c>
      <c r="X283" s="83">
        <f t="shared" si="103"/>
        <v>344039.35950134858</v>
      </c>
      <c r="Y283" s="83">
        <f t="shared" si="103"/>
        <v>342261.15710861038</v>
      </c>
      <c r="Z283" s="83">
        <f t="shared" si="103"/>
        <v>340460.98329560627</v>
      </c>
      <c r="AA283" s="83">
        <f t="shared" si="103"/>
        <v>338638.61834813398</v>
      </c>
      <c r="AB283" s="83">
        <f t="shared" si="103"/>
        <v>336793.84035484871</v>
      </c>
      <c r="AC283" s="272">
        <f t="shared" si="103"/>
        <v>334926.4251852922</v>
      </c>
      <c r="AD283" s="355">
        <f t="shared" si="91"/>
        <v>6256538.6811193107</v>
      </c>
    </row>
    <row r="284" spans="1:60" s="110" customFormat="1" ht="12">
      <c r="A284" s="107"/>
      <c r="B284" s="58"/>
      <c r="C284" s="108"/>
      <c r="D284" s="208"/>
      <c r="E284" s="216"/>
      <c r="F284" s="109"/>
      <c r="G284" s="109"/>
      <c r="H284" s="109"/>
      <c r="I284" s="109"/>
      <c r="J284" s="109"/>
      <c r="K284" s="109"/>
      <c r="L284" s="109"/>
      <c r="M284" s="109"/>
      <c r="N284" s="109"/>
      <c r="O284" s="109"/>
      <c r="P284" s="109"/>
      <c r="Q284" s="109"/>
      <c r="R284" s="109"/>
      <c r="S284" s="109"/>
      <c r="T284" s="109"/>
      <c r="U284" s="109"/>
      <c r="V284" s="109"/>
      <c r="W284" s="109"/>
      <c r="X284" s="109"/>
      <c r="Y284" s="109"/>
      <c r="Z284" s="109"/>
      <c r="AC284" s="262"/>
      <c r="AD284" s="337"/>
    </row>
    <row r="285" spans="1:60" s="93" customFormat="1" ht="12">
      <c r="A285" s="93" t="s">
        <v>347</v>
      </c>
      <c r="B285" s="58"/>
      <c r="D285" s="211"/>
      <c r="E285" s="222"/>
      <c r="H285" s="92"/>
      <c r="I285" s="92"/>
      <c r="J285" s="92"/>
      <c r="K285" s="92"/>
      <c r="L285" s="92"/>
      <c r="M285" s="92"/>
      <c r="N285" s="92"/>
      <c r="O285" s="92"/>
      <c r="P285" s="92"/>
      <c r="Q285" s="92"/>
      <c r="R285" s="92"/>
      <c r="S285" s="92"/>
      <c r="T285" s="92"/>
      <c r="U285" s="92"/>
      <c r="V285" s="92"/>
      <c r="W285" s="92"/>
      <c r="X285" s="92"/>
      <c r="Y285" s="92"/>
      <c r="AC285" s="273"/>
      <c r="AD285" s="361"/>
    </row>
    <row r="286" spans="1:60" s="93" customFormat="1" ht="12">
      <c r="B286" s="58"/>
      <c r="D286" s="211"/>
      <c r="E286" s="222"/>
      <c r="H286" s="106"/>
      <c r="I286" s="106"/>
      <c r="J286" s="106"/>
      <c r="K286" s="106"/>
      <c r="L286" s="106"/>
      <c r="M286" s="106"/>
      <c r="N286" s="106"/>
      <c r="O286" s="106"/>
      <c r="P286" s="106"/>
      <c r="Q286" s="106"/>
      <c r="R286" s="106"/>
      <c r="S286" s="106"/>
      <c r="T286" s="106"/>
      <c r="U286" s="106"/>
      <c r="V286" s="106"/>
      <c r="W286" s="106"/>
      <c r="X286" s="106"/>
      <c r="Y286" s="106"/>
      <c r="AC286" s="273"/>
      <c r="AD286" s="361"/>
    </row>
    <row r="287" spans="1:60" s="110" customFormat="1" ht="12">
      <c r="A287" s="91"/>
      <c r="B287" s="58"/>
      <c r="C287" s="291" t="s">
        <v>502</v>
      </c>
      <c r="D287" s="211"/>
      <c r="E287" s="290">
        <f>SUM(F287:AC287)</f>
        <v>9326112.3073910624</v>
      </c>
      <c r="F287" s="255">
        <f t="shared" ref="F287:AC287" si="104">F5+F6+F59+F71+F78+F98+F105+F132+F145+F153+F165+F172+F206+F219+F283+F222+F239+F244</f>
        <v>-1035667</v>
      </c>
      <c r="G287" s="255">
        <f t="shared" si="104"/>
        <v>-2319515</v>
      </c>
      <c r="H287" s="255">
        <f t="shared" si="104"/>
        <v>-3859895.7593749999</v>
      </c>
      <c r="I287" s="255">
        <f t="shared" si="104"/>
        <v>-7116871.5062499996</v>
      </c>
      <c r="J287" s="255">
        <f t="shared" si="104"/>
        <v>-760935.65810027614</v>
      </c>
      <c r="K287" s="255">
        <f t="shared" si="104"/>
        <v>1258368.5260053626</v>
      </c>
      <c r="L287" s="255">
        <f t="shared" si="104"/>
        <v>1283409.6377218962</v>
      </c>
      <c r="M287" s="255">
        <f t="shared" si="104"/>
        <v>491668.82607513806</v>
      </c>
      <c r="N287" s="255">
        <f t="shared" si="104"/>
        <v>1308959.7200974941</v>
      </c>
      <c r="O287" s="255">
        <f t="shared" si="104"/>
        <v>1309523.3394769519</v>
      </c>
      <c r="P287" s="255">
        <f t="shared" si="104"/>
        <v>1313091.7995509037</v>
      </c>
      <c r="Q287" s="255">
        <f t="shared" si="104"/>
        <v>1316678.4545226234</v>
      </c>
      <c r="R287" s="255">
        <f t="shared" si="104"/>
        <v>1320305.1128661751</v>
      </c>
      <c r="S287" s="255">
        <f t="shared" si="104"/>
        <v>1323950.7318945613</v>
      </c>
      <c r="T287" s="255">
        <f t="shared" si="104"/>
        <v>1327636.847593707</v>
      </c>
      <c r="U287" s="255">
        <f t="shared" si="104"/>
        <v>1331342.711012403</v>
      </c>
      <c r="V287" s="255">
        <f t="shared" si="104"/>
        <v>1335089.576304731</v>
      </c>
      <c r="W287" s="255">
        <f t="shared" si="104"/>
        <v>1338856.9983441604</v>
      </c>
      <c r="X287" s="255">
        <f t="shared" si="104"/>
        <v>1349011.5481642117</v>
      </c>
      <c r="Y287" s="255">
        <f t="shared" si="104"/>
        <v>1352858.6291309057</v>
      </c>
      <c r="Z287" s="255">
        <f t="shared" si="104"/>
        <v>1357490.646296348</v>
      </c>
      <c r="AA287" s="255">
        <f t="shared" si="104"/>
        <v>1362177.5334991394</v>
      </c>
      <c r="AB287" s="255">
        <f t="shared" si="104"/>
        <v>1366899.339459636</v>
      </c>
      <c r="AC287" s="268">
        <f t="shared" si="104"/>
        <v>1371677.253099988</v>
      </c>
      <c r="AD287" s="346">
        <f t="shared" si="91"/>
        <v>9326112.3073910624</v>
      </c>
      <c r="AE287" s="110">
        <v>2036</v>
      </c>
      <c r="AF287" s="110">
        <f>AE287+1</f>
        <v>2037</v>
      </c>
      <c r="AG287" s="110">
        <f t="shared" ref="AG287:AX287" si="105">AF287+1</f>
        <v>2038</v>
      </c>
      <c r="AH287" s="110">
        <f t="shared" si="105"/>
        <v>2039</v>
      </c>
      <c r="AI287" s="110">
        <f t="shared" si="105"/>
        <v>2040</v>
      </c>
      <c r="AJ287" s="110">
        <f t="shared" si="105"/>
        <v>2041</v>
      </c>
      <c r="AK287" s="110">
        <f t="shared" si="105"/>
        <v>2042</v>
      </c>
      <c r="AL287" s="110">
        <f t="shared" si="105"/>
        <v>2043</v>
      </c>
      <c r="AM287" s="110">
        <f t="shared" si="105"/>
        <v>2044</v>
      </c>
      <c r="AN287" s="110">
        <f t="shared" si="105"/>
        <v>2045</v>
      </c>
      <c r="AO287" s="110">
        <f t="shared" si="105"/>
        <v>2046</v>
      </c>
      <c r="AP287" s="110">
        <f t="shared" si="105"/>
        <v>2047</v>
      </c>
      <c r="AQ287" s="110">
        <f t="shared" si="105"/>
        <v>2048</v>
      </c>
      <c r="AR287" s="110">
        <f t="shared" si="105"/>
        <v>2049</v>
      </c>
      <c r="AS287" s="110">
        <f t="shared" si="105"/>
        <v>2050</v>
      </c>
      <c r="AT287" s="110">
        <f t="shared" si="105"/>
        <v>2051</v>
      </c>
      <c r="AU287" s="110">
        <f t="shared" si="105"/>
        <v>2052</v>
      </c>
      <c r="AV287" s="110">
        <f t="shared" si="105"/>
        <v>2053</v>
      </c>
      <c r="AW287" s="110">
        <f t="shared" si="105"/>
        <v>2054</v>
      </c>
      <c r="AX287" s="110">
        <f t="shared" si="105"/>
        <v>2055</v>
      </c>
      <c r="AY287" s="110">
        <f t="shared" ref="AY287" si="106">AX287+1</f>
        <v>2056</v>
      </c>
      <c r="AZ287" s="110">
        <f t="shared" ref="AZ287" si="107">AY287+1</f>
        <v>2057</v>
      </c>
      <c r="BA287" s="110">
        <f t="shared" ref="BA287" si="108">AZ287+1</f>
        <v>2058</v>
      </c>
      <c r="BB287" s="110">
        <f t="shared" ref="BB287" si="109">BA287+1</f>
        <v>2059</v>
      </c>
      <c r="BC287" s="110">
        <f t="shared" ref="BC287" si="110">BB287+1</f>
        <v>2060</v>
      </c>
      <c r="BD287" s="110">
        <f t="shared" ref="BD287" si="111">BC287+1</f>
        <v>2061</v>
      </c>
      <c r="BE287" s="110">
        <f t="shared" ref="BE287" si="112">BD287+1</f>
        <v>2062</v>
      </c>
      <c r="BF287" s="110">
        <f t="shared" ref="BF287" si="113">BE287+1</f>
        <v>2063</v>
      </c>
      <c r="BG287" s="110">
        <f t="shared" ref="BG287:BH287" si="114">BF287+1</f>
        <v>2064</v>
      </c>
      <c r="BH287" s="110">
        <f t="shared" si="114"/>
        <v>2065</v>
      </c>
    </row>
    <row r="288" spans="1:60" s="93" customFormat="1" ht="12">
      <c r="A288" s="91"/>
      <c r="B288" s="58"/>
      <c r="C288" s="70" t="s">
        <v>180</v>
      </c>
      <c r="D288" s="211"/>
      <c r="E288" s="218"/>
      <c r="F288" s="106">
        <f>1/1.03</f>
        <v>0.970873786407767</v>
      </c>
      <c r="G288" s="106">
        <f>F288/1.03</f>
        <v>0.94259590913375435</v>
      </c>
      <c r="H288" s="106">
        <f t="shared" ref="H288:AC288" si="115">G288/1.03</f>
        <v>0.9151416593531595</v>
      </c>
      <c r="I288" s="106">
        <f t="shared" si="115"/>
        <v>0.88848704791568878</v>
      </c>
      <c r="J288" s="106">
        <f t="shared" si="115"/>
        <v>0.86260878438416388</v>
      </c>
      <c r="K288" s="106">
        <f t="shared" si="115"/>
        <v>0.83748425668365423</v>
      </c>
      <c r="L288" s="106">
        <f t="shared" si="115"/>
        <v>0.81309151134335356</v>
      </c>
      <c r="M288" s="106">
        <f t="shared" si="115"/>
        <v>0.7894092343139355</v>
      </c>
      <c r="N288" s="106">
        <f t="shared" si="115"/>
        <v>0.76641673234362673</v>
      </c>
      <c r="O288" s="106">
        <f t="shared" si="115"/>
        <v>0.74409391489672494</v>
      </c>
      <c r="P288" s="106">
        <f t="shared" si="115"/>
        <v>0.7224212765987621</v>
      </c>
      <c r="Q288" s="106">
        <f t="shared" si="115"/>
        <v>0.70137988019297293</v>
      </c>
      <c r="R288" s="106">
        <f t="shared" si="115"/>
        <v>0.68095133999317758</v>
      </c>
      <c r="S288" s="106">
        <f t="shared" si="115"/>
        <v>0.66111780581861901</v>
      </c>
      <c r="T288" s="106">
        <f t="shared" si="115"/>
        <v>0.64186194739671742</v>
      </c>
      <c r="U288" s="106">
        <f t="shared" si="115"/>
        <v>0.62316693922011401</v>
      </c>
      <c r="V288" s="106">
        <f t="shared" si="115"/>
        <v>0.60501644584477088</v>
      </c>
      <c r="W288" s="106">
        <f t="shared" si="115"/>
        <v>0.58739460761628237</v>
      </c>
      <c r="X288" s="106">
        <f t="shared" si="115"/>
        <v>0.57028602681192464</v>
      </c>
      <c r="Y288" s="106">
        <f t="shared" si="115"/>
        <v>0.55367575418633463</v>
      </c>
      <c r="Z288" s="106">
        <f t="shared" si="115"/>
        <v>0.53754927590906276</v>
      </c>
      <c r="AA288" s="106">
        <f t="shared" si="115"/>
        <v>0.52189250088258521</v>
      </c>
      <c r="AB288" s="106">
        <f t="shared" si="115"/>
        <v>0.50669174842969433</v>
      </c>
      <c r="AC288" s="274">
        <f t="shared" si="115"/>
        <v>0.49193373633950904</v>
      </c>
      <c r="AD288" s="362"/>
      <c r="AE288" s="93">
        <f>AC288/1.03</f>
        <v>0.47760556926165926</v>
      </c>
      <c r="AF288" s="93">
        <f>AE288/1.03</f>
        <v>0.4636947274385041</v>
      </c>
      <c r="AG288" s="93">
        <f t="shared" ref="AG288:AX288" si="116">AF288/1.03</f>
        <v>0.45018905576553797</v>
      </c>
      <c r="AH288" s="93">
        <f t="shared" si="116"/>
        <v>0.43707675317042521</v>
      </c>
      <c r="AI288" s="93">
        <f t="shared" si="116"/>
        <v>0.42434636230138367</v>
      </c>
      <c r="AJ288" s="93">
        <f t="shared" si="116"/>
        <v>0.41198675951590646</v>
      </c>
      <c r="AK288" s="93">
        <f t="shared" si="116"/>
        <v>0.39998714516107425</v>
      </c>
      <c r="AL288" s="93">
        <f t="shared" si="116"/>
        <v>0.3883370341369653</v>
      </c>
      <c r="AM288" s="93">
        <f t="shared" si="116"/>
        <v>0.37702624673491775</v>
      </c>
      <c r="AN288" s="93">
        <f t="shared" si="116"/>
        <v>0.3660448997426386</v>
      </c>
      <c r="AO288" s="93">
        <f t="shared" si="116"/>
        <v>0.35538339780838696</v>
      </c>
      <c r="AP288" s="93">
        <f t="shared" si="116"/>
        <v>0.34503242505668635</v>
      </c>
      <c r="AQ288" s="93">
        <f t="shared" si="116"/>
        <v>0.33498293694823916</v>
      </c>
      <c r="AR288" s="93">
        <f t="shared" si="116"/>
        <v>0.3252261523769312</v>
      </c>
      <c r="AS288" s="93">
        <f t="shared" si="116"/>
        <v>0.31575354599702055</v>
      </c>
      <c r="AT288" s="93">
        <f t="shared" si="116"/>
        <v>0.30655684077380635</v>
      </c>
      <c r="AU288" s="93">
        <f t="shared" si="116"/>
        <v>0.29762800075126827</v>
      </c>
      <c r="AV288" s="93">
        <f t="shared" si="116"/>
        <v>0.28895922403035756</v>
      </c>
      <c r="AW288" s="93">
        <f t="shared" si="116"/>
        <v>0.28054293595180346</v>
      </c>
      <c r="AX288" s="93">
        <f t="shared" si="116"/>
        <v>0.27237178247747906</v>
      </c>
      <c r="AY288" s="93">
        <f t="shared" ref="AY288" si="117">AX288/1.03</f>
        <v>0.26443862376454275</v>
      </c>
      <c r="AZ288" s="93">
        <f t="shared" ref="AZ288" si="118">AY288/1.03</f>
        <v>0.25673652792674051</v>
      </c>
      <c r="BA288" s="93">
        <f t="shared" ref="BA288" si="119">AZ288/1.03</f>
        <v>0.24925876497741797</v>
      </c>
      <c r="BB288" s="93">
        <f t="shared" ref="BB288" si="120">BA288/1.03</f>
        <v>0.24199880094894949</v>
      </c>
      <c r="BC288" s="93">
        <f t="shared" ref="BC288" si="121">BB288/1.03</f>
        <v>0.2349502921834461</v>
      </c>
      <c r="BD288" s="93">
        <f t="shared" ref="BD288" si="122">BC288/1.03</f>
        <v>0.22810707978975348</v>
      </c>
      <c r="BE288" s="93">
        <f t="shared" ref="BE288" si="123">BD288/1.03</f>
        <v>0.22146318426189657</v>
      </c>
      <c r="BF288" s="93">
        <f t="shared" ref="BF288" si="124">BE288/1.03</f>
        <v>0.2150128002542685</v>
      </c>
      <c r="BG288" s="93">
        <f t="shared" ref="BG288:BH288" si="125">BF288/1.03</f>
        <v>0.20875029150899854</v>
      </c>
      <c r="BH288" s="93">
        <f t="shared" si="125"/>
        <v>0.20267018593106653</v>
      </c>
    </row>
    <row r="289" spans="1:60" s="110" customFormat="1" ht="12">
      <c r="A289" s="107"/>
      <c r="B289" s="58"/>
      <c r="C289" s="108" t="s">
        <v>178</v>
      </c>
      <c r="D289" s="208"/>
      <c r="E289" s="216">
        <f>SUM(F289:AC289)</f>
        <v>2008093.342279335</v>
      </c>
      <c r="F289" s="109">
        <f>F287*F288</f>
        <v>-1005501.9417475729</v>
      </c>
      <c r="G289" s="109">
        <f t="shared" ref="G289:AC289" si="126">G287*G288</f>
        <v>-2186365.35017438</v>
      </c>
      <c r="H289" s="109">
        <f t="shared" si="126"/>
        <v>-3532351.4101646612</v>
      </c>
      <c r="I289" s="109">
        <f t="shared" si="126"/>
        <v>-6323248.1549833436</v>
      </c>
      <c r="J289" s="109">
        <f t="shared" si="126"/>
        <v>-656389.78302844299</v>
      </c>
      <c r="K289" s="109">
        <f t="shared" si="126"/>
        <v>1053863.8296357067</v>
      </c>
      <c r="L289" s="109">
        <f t="shared" si="126"/>
        <v>1043529.4820079224</v>
      </c>
      <c r="M289" s="109">
        <f t="shared" si="126"/>
        <v>388127.91152800625</v>
      </c>
      <c r="N289" s="109">
        <f t="shared" si="126"/>
        <v>1003208.6314465497</v>
      </c>
      <c r="O289" s="109">
        <f t="shared" si="126"/>
        <v>974408.34832003806</v>
      </c>
      <c r="P289" s="109">
        <f t="shared" si="126"/>
        <v>948605.45412292972</v>
      </c>
      <c r="Q289" s="109">
        <f t="shared" si="126"/>
        <v>923491.77668574639</v>
      </c>
      <c r="R289" s="109">
        <f t="shared" si="126"/>
        <v>899063.53580606554</v>
      </c>
      <c r="S289" s="109">
        <f t="shared" si="126"/>
        <v>875287.40288208716</v>
      </c>
      <c r="T289" s="109">
        <f t="shared" si="126"/>
        <v>852159.5724321357</v>
      </c>
      <c r="U289" s="109">
        <f t="shared" si="126"/>
        <v>829648.76227460802</v>
      </c>
      <c r="V289" s="109">
        <f t="shared" si="126"/>
        <v>807751.15034028934</v>
      </c>
      <c r="W289" s="109">
        <f t="shared" si="126"/>
        <v>786437.38119668176</v>
      </c>
      <c r="X289" s="109">
        <f t="shared" si="126"/>
        <v>769322.4359259716</v>
      </c>
      <c r="Y289" s="109">
        <f t="shared" si="126"/>
        <v>749045.02179154498</v>
      </c>
      <c r="Z289" s="109">
        <f t="shared" si="126"/>
        <v>729718.11396992742</v>
      </c>
      <c r="AA289" s="109">
        <f t="shared" si="126"/>
        <v>710910.23960393737</v>
      </c>
      <c r="AB289" s="109">
        <f t="shared" si="126"/>
        <v>692596.6162381972</v>
      </c>
      <c r="AC289" s="392">
        <f t="shared" si="126"/>
        <v>674774.3161693915</v>
      </c>
      <c r="AD289" s="363">
        <f t="shared" si="91"/>
        <v>2008093.342279335</v>
      </c>
    </row>
    <row r="290" spans="1:60" s="110" customFormat="1" ht="12">
      <c r="A290" s="91"/>
      <c r="B290" s="58"/>
      <c r="C290" s="70" t="s">
        <v>181</v>
      </c>
      <c r="D290" s="211"/>
      <c r="E290" s="218"/>
      <c r="F290" s="106">
        <f>1/1.07</f>
        <v>0.93457943925233644</v>
      </c>
      <c r="G290" s="106">
        <f>F290/1.07</f>
        <v>0.87343872827321156</v>
      </c>
      <c r="H290" s="106">
        <f t="shared" ref="H290:AC290" si="127">G290/1.07</f>
        <v>0.81629787689085187</v>
      </c>
      <c r="I290" s="106">
        <f t="shared" si="127"/>
        <v>0.76289521204752508</v>
      </c>
      <c r="J290" s="106">
        <f t="shared" si="127"/>
        <v>0.71298617948366827</v>
      </c>
      <c r="K290" s="106">
        <f t="shared" si="127"/>
        <v>0.66634222381651231</v>
      </c>
      <c r="L290" s="106">
        <f t="shared" si="127"/>
        <v>0.62274974188459087</v>
      </c>
      <c r="M290" s="106">
        <f t="shared" si="127"/>
        <v>0.58200910456503818</v>
      </c>
      <c r="N290" s="106">
        <f t="shared" si="127"/>
        <v>0.54393374258414784</v>
      </c>
      <c r="O290" s="106">
        <f t="shared" si="127"/>
        <v>0.50834929213471758</v>
      </c>
      <c r="P290" s="106">
        <f t="shared" si="127"/>
        <v>0.4750927963875865</v>
      </c>
      <c r="Q290" s="106">
        <f t="shared" si="127"/>
        <v>0.444011959240735</v>
      </c>
      <c r="R290" s="106">
        <f t="shared" si="127"/>
        <v>0.41496444788853737</v>
      </c>
      <c r="S290" s="106">
        <f t="shared" si="127"/>
        <v>0.38781724101732462</v>
      </c>
      <c r="T290" s="106">
        <f t="shared" si="127"/>
        <v>0.36244601964235945</v>
      </c>
      <c r="U290" s="106">
        <f t="shared" si="127"/>
        <v>0.33873459779659759</v>
      </c>
      <c r="V290" s="106">
        <f t="shared" si="127"/>
        <v>0.3165743904641099</v>
      </c>
      <c r="W290" s="106">
        <f t="shared" si="127"/>
        <v>0.29586391632159803</v>
      </c>
      <c r="X290" s="106">
        <f t="shared" si="127"/>
        <v>0.27650833301083927</v>
      </c>
      <c r="Y290" s="106">
        <f t="shared" si="127"/>
        <v>0.25841900281386848</v>
      </c>
      <c r="Z290" s="106">
        <f t="shared" si="127"/>
        <v>0.24151308674193314</v>
      </c>
      <c r="AA290" s="106">
        <f t="shared" si="127"/>
        <v>0.22571316517937676</v>
      </c>
      <c r="AB290" s="106">
        <f t="shared" si="127"/>
        <v>0.21094688334521192</v>
      </c>
      <c r="AC290" s="274">
        <f t="shared" si="127"/>
        <v>0.19714661994879618</v>
      </c>
      <c r="AD290" s="362"/>
      <c r="AE290" s="110">
        <f>AC290/1.03</f>
        <v>0.19140448538718075</v>
      </c>
      <c r="AF290" s="110">
        <f>AE290/1.03</f>
        <v>0.18582959746328226</v>
      </c>
      <c r="AG290" s="110">
        <f t="shared" ref="AG290:AX290" si="128">AF290/1.03</f>
        <v>0.18041708491580802</v>
      </c>
      <c r="AH290" s="110">
        <f t="shared" si="128"/>
        <v>0.17516221836486215</v>
      </c>
      <c r="AI290" s="110">
        <f t="shared" si="128"/>
        <v>0.17006040617947782</v>
      </c>
      <c r="AJ290" s="110">
        <f t="shared" si="128"/>
        <v>0.16510719046551245</v>
      </c>
      <c r="AK290" s="110">
        <f t="shared" si="128"/>
        <v>0.16029824317040042</v>
      </c>
      <c r="AL290" s="110">
        <f t="shared" si="128"/>
        <v>0.15562936230135963</v>
      </c>
      <c r="AM290" s="110">
        <f t="shared" si="128"/>
        <v>0.1510964682537472</v>
      </c>
      <c r="AN290" s="110">
        <f t="shared" si="128"/>
        <v>0.1466956002463565</v>
      </c>
      <c r="AO290" s="110">
        <f t="shared" si="128"/>
        <v>0.14242291286054029</v>
      </c>
      <c r="AP290" s="110">
        <f t="shared" si="128"/>
        <v>0.13827467268013621</v>
      </c>
      <c r="AQ290" s="110">
        <f t="shared" si="128"/>
        <v>0.13424725502925847</v>
      </c>
      <c r="AR290" s="110">
        <f t="shared" si="128"/>
        <v>0.13033714080510531</v>
      </c>
      <c r="AS290" s="110">
        <f t="shared" si="128"/>
        <v>0.12654091340301485</v>
      </c>
      <c r="AT290" s="110">
        <f t="shared" si="128"/>
        <v>0.12285525573108237</v>
      </c>
      <c r="AU290" s="110">
        <f t="shared" si="128"/>
        <v>0.11927694731173046</v>
      </c>
      <c r="AV290" s="110">
        <f t="shared" si="128"/>
        <v>0.11580286146769947</v>
      </c>
      <c r="AW290" s="110">
        <f t="shared" si="128"/>
        <v>0.11242996258999949</v>
      </c>
      <c r="AX290" s="110">
        <f t="shared" si="128"/>
        <v>0.10915530348543639</v>
      </c>
      <c r="AY290" s="110">
        <f t="shared" ref="AY290" si="129">AX290/1.03</f>
        <v>0.10597602280139455</v>
      </c>
      <c r="AZ290" s="110">
        <f t="shared" ref="AZ290" si="130">AY290/1.03</f>
        <v>0.10288934252562577</v>
      </c>
      <c r="BA290" s="110">
        <f t="shared" ref="BA290" si="131">AZ290/1.03</f>
        <v>9.9892565558859975E-2</v>
      </c>
      <c r="BB290" s="110">
        <f t="shared" ref="BB290" si="132">BA290/1.03</f>
        <v>9.6983073358116484E-2</v>
      </c>
      <c r="BC290" s="110">
        <f t="shared" ref="BC290" si="133">BB290/1.03</f>
        <v>9.4158323648656783E-2</v>
      </c>
      <c r="BD290" s="110">
        <f t="shared" ref="BD290" si="134">BC290/1.03</f>
        <v>9.1415848202579406E-2</v>
      </c>
      <c r="BE290" s="110">
        <f t="shared" ref="BE290" si="135">BD290/1.03</f>
        <v>8.8753250682115925E-2</v>
      </c>
      <c r="BF290" s="110">
        <f t="shared" ref="BF290" si="136">BE290/1.03</f>
        <v>8.6168204545743615E-2</v>
      </c>
      <c r="BG290" s="110">
        <f t="shared" ref="BG290:BH290" si="137">BF290/1.03</f>
        <v>8.365845101528506E-2</v>
      </c>
      <c r="BH290" s="110">
        <f t="shared" si="137"/>
        <v>8.1221797102218496E-2</v>
      </c>
    </row>
    <row r="291" spans="1:60" s="110" customFormat="1" ht="12">
      <c r="A291" s="107"/>
      <c r="B291" s="58"/>
      <c r="C291" s="108" t="s">
        <v>179</v>
      </c>
      <c r="D291" s="208"/>
      <c r="E291" s="216">
        <f>SUM(F291:AC291)</f>
        <v>-2877640.0052568181</v>
      </c>
      <c r="F291" s="109">
        <f>F287*F290</f>
        <v>-967913.08411214955</v>
      </c>
      <c r="G291" s="109">
        <f t="shared" ref="G291:AC291" si="138">G287*G290</f>
        <v>-2025954.2318106382</v>
      </c>
      <c r="H291" s="109">
        <f t="shared" si="138"/>
        <v>-3150824.7133978149</v>
      </c>
      <c r="I291" s="109">
        <f t="shared" si="138"/>
        <v>-5429427.1968755824</v>
      </c>
      <c r="J291" s="109">
        <f t="shared" si="138"/>
        <v>-542536.6077018067</v>
      </c>
      <c r="K291" s="109">
        <f t="shared" si="138"/>
        <v>838504.08199912007</v>
      </c>
      <c r="L291" s="109">
        <f t="shared" si="138"/>
        <v>799243.02062350709</v>
      </c>
      <c r="M291" s="109">
        <f t="shared" si="138"/>
        <v>286155.73320653458</v>
      </c>
      <c r="N291" s="109">
        <f t="shared" si="138"/>
        <v>711987.35944452859</v>
      </c>
      <c r="O291" s="109">
        <f t="shared" si="138"/>
        <v>665695.26265699998</v>
      </c>
      <c r="P291" s="109">
        <f t="shared" si="138"/>
        <v>623840.45496224705</v>
      </c>
      <c r="Q291" s="109">
        <f t="shared" si="138"/>
        <v>584620.98028265301</v>
      </c>
      <c r="R291" s="109">
        <f t="shared" si="138"/>
        <v>547879.68220492534</v>
      </c>
      <c r="S291" s="109">
        <f t="shared" si="138"/>
        <v>513450.92008621641</v>
      </c>
      <c r="T291" s="109">
        <f t="shared" si="138"/>
        <v>481196.69094086892</v>
      </c>
      <c r="U291" s="109">
        <f t="shared" si="138"/>
        <v>450971.83774421818</v>
      </c>
      <c r="V291" s="109">
        <f t="shared" si="138"/>
        <v>422655.16883365694</v>
      </c>
      <c r="W291" s="109">
        <f t="shared" si="138"/>
        <v>396119.47492468258</v>
      </c>
      <c r="X291" s="109">
        <f t="shared" si="138"/>
        <v>373012.93439525767</v>
      </c>
      <c r="Y291" s="109">
        <f t="shared" si="138"/>
        <v>349604.3778881458</v>
      </c>
      <c r="Z291" s="109">
        <f t="shared" si="138"/>
        <v>327851.75621033279</v>
      </c>
      <c r="AA291" s="109">
        <f t="shared" si="138"/>
        <v>307461.40262232727</v>
      </c>
      <c r="AB291" s="109">
        <f t="shared" si="138"/>
        <v>288343.15550563904</v>
      </c>
      <c r="AC291" s="392">
        <f t="shared" si="138"/>
        <v>270421.53410931205</v>
      </c>
      <c r="AD291" s="363">
        <f t="shared" si="91"/>
        <v>-2877640.0052568181</v>
      </c>
    </row>
    <row r="292" spans="1:60" s="53" customFormat="1" ht="12">
      <c r="A292" s="107"/>
      <c r="B292" s="58"/>
      <c r="C292" s="108"/>
      <c r="D292" s="208"/>
      <c r="E292" s="216"/>
      <c r="F292" s="109"/>
      <c r="G292" s="109"/>
      <c r="AC292" s="263"/>
      <c r="AD292" s="338"/>
    </row>
    <row r="293" spans="1:60" s="53" customFormat="1" ht="12">
      <c r="A293" s="45"/>
      <c r="B293" s="58"/>
      <c r="C293" s="282" t="s">
        <v>185</v>
      </c>
      <c r="D293" s="213"/>
      <c r="E293" s="303">
        <f>IRR(F287:AC287)</f>
        <v>4.2812129887057869E-2</v>
      </c>
      <c r="F293" s="45"/>
      <c r="G293" s="57"/>
      <c r="AC293" s="263"/>
      <c r="AD293" s="338"/>
    </row>
    <row r="294" spans="1:60" s="113" customFormat="1" ht="12">
      <c r="A294" s="111"/>
      <c r="B294" s="58"/>
      <c r="C294" s="115"/>
      <c r="D294" s="117"/>
      <c r="E294" s="111"/>
      <c r="F294" s="112"/>
      <c r="G294" s="112"/>
      <c r="H294" s="112"/>
      <c r="I294" s="112"/>
      <c r="J294" s="112"/>
      <c r="K294" s="112"/>
      <c r="L294" s="112"/>
      <c r="M294" s="112"/>
      <c r="N294" s="112"/>
      <c r="O294" s="112"/>
      <c r="P294" s="112"/>
      <c r="Q294" s="112"/>
      <c r="R294" s="112"/>
      <c r="S294" s="112"/>
      <c r="T294" s="112"/>
      <c r="U294" s="112"/>
      <c r="V294" s="112"/>
      <c r="W294" s="112"/>
      <c r="X294" s="112"/>
      <c r="Y294" s="112"/>
      <c r="AC294" s="275"/>
      <c r="AD294" s="364"/>
    </row>
    <row r="295" spans="1:60" s="113" customFormat="1" ht="12">
      <c r="A295" s="111"/>
      <c r="B295" s="58"/>
      <c r="C295" s="118"/>
      <c r="D295" s="117"/>
      <c r="E295" s="111"/>
      <c r="F295" s="111"/>
      <c r="G295" s="114"/>
      <c r="AC295" s="275"/>
      <c r="AD295" s="364"/>
    </row>
    <row r="296" spans="1:60" s="113" customFormat="1" ht="12">
      <c r="A296" s="111"/>
      <c r="B296" s="111"/>
      <c r="C296" s="115"/>
      <c r="D296" s="119"/>
      <c r="E296" s="120"/>
      <c r="F296" s="120"/>
      <c r="G296" s="116"/>
      <c r="H296" s="116"/>
      <c r="I296" s="116"/>
      <c r="J296" s="116"/>
      <c r="K296" s="116"/>
      <c r="L296" s="116"/>
      <c r="M296" s="116"/>
      <c r="N296" s="116"/>
      <c r="O296" s="116"/>
      <c r="P296" s="116"/>
      <c r="Q296" s="116"/>
      <c r="R296" s="116"/>
      <c r="S296" s="116"/>
      <c r="T296" s="116"/>
      <c r="U296" s="116"/>
      <c r="V296" s="116"/>
      <c r="W296" s="116"/>
      <c r="X296" s="116"/>
      <c r="Y296" s="116"/>
      <c r="AC296" s="275"/>
      <c r="AD296" s="364"/>
    </row>
    <row r="297" spans="1:60" s="113" customFormat="1" ht="12">
      <c r="A297" s="111"/>
      <c r="B297" s="111"/>
      <c r="D297" s="121"/>
      <c r="E297" s="120"/>
      <c r="F297" s="120"/>
      <c r="G297" s="116"/>
      <c r="H297" s="116"/>
      <c r="I297" s="116"/>
      <c r="J297" s="116"/>
      <c r="K297" s="116"/>
      <c r="L297" s="116"/>
      <c r="M297" s="116"/>
      <c r="N297" s="116"/>
      <c r="O297" s="116"/>
      <c r="P297" s="116"/>
      <c r="Q297" s="116"/>
      <c r="R297" s="116"/>
      <c r="S297" s="116"/>
      <c r="T297" s="116"/>
      <c r="U297" s="116"/>
      <c r="V297" s="116"/>
      <c r="W297" s="116"/>
      <c r="X297" s="116"/>
      <c r="Y297" s="116"/>
      <c r="AC297" s="275"/>
      <c r="AD297" s="364"/>
    </row>
    <row r="298" spans="1:60" s="113" customFormat="1" ht="12">
      <c r="A298" s="111"/>
      <c r="B298" s="111"/>
      <c r="D298" s="121"/>
      <c r="E298" s="120"/>
      <c r="F298" s="120"/>
      <c r="G298" s="116"/>
      <c r="H298" s="116"/>
      <c r="I298" s="116"/>
      <c r="J298" s="116"/>
      <c r="K298" s="116"/>
      <c r="L298" s="116"/>
      <c r="M298" s="116"/>
      <c r="N298" s="116"/>
      <c r="O298" s="116"/>
      <c r="P298" s="116"/>
      <c r="Q298" s="116"/>
      <c r="R298" s="116"/>
      <c r="S298" s="116"/>
      <c r="T298" s="116"/>
      <c r="U298" s="116"/>
      <c r="V298" s="116"/>
      <c r="W298" s="116"/>
      <c r="X298" s="116"/>
      <c r="Y298" s="116"/>
      <c r="AC298" s="275"/>
      <c r="AD298" s="364"/>
    </row>
    <row r="299" spans="1:60" s="113" customFormat="1" ht="12">
      <c r="A299" s="111"/>
      <c r="B299" s="111"/>
      <c r="C299" s="291" t="s">
        <v>82</v>
      </c>
      <c r="D299" s="122"/>
      <c r="E299" s="111"/>
      <c r="F299" s="325">
        <f t="shared" ref="F299:AC299" si="139">F5+F6+F71+F98+F132+F165+F217+F251+F253+F265+F267</f>
        <v>-1035667</v>
      </c>
      <c r="G299" s="325">
        <f t="shared" si="139"/>
        <v>-2319515</v>
      </c>
      <c r="H299" s="325">
        <f t="shared" si="139"/>
        <v>-3859895.7593749999</v>
      </c>
      <c r="I299" s="325">
        <f t="shared" si="139"/>
        <v>-7116871.5062499996</v>
      </c>
      <c r="J299" s="325">
        <f t="shared" si="139"/>
        <v>-2139610.8508896986</v>
      </c>
      <c r="K299" s="325">
        <f t="shared" si="139"/>
        <v>-534423.72865763598</v>
      </c>
      <c r="L299" s="325">
        <f t="shared" si="139"/>
        <v>-541175.87862360803</v>
      </c>
      <c r="M299" s="325">
        <f t="shared" si="139"/>
        <v>-430811.2712451471</v>
      </c>
      <c r="N299" s="325">
        <f t="shared" si="139"/>
        <v>-551131.32614552963</v>
      </c>
      <c r="O299" s="325">
        <f t="shared" si="139"/>
        <v>-554347.88778617664</v>
      </c>
      <c r="P299" s="325">
        <f t="shared" si="139"/>
        <v>-557595.39055918797</v>
      </c>
      <c r="Q299" s="325">
        <f t="shared" si="139"/>
        <v>-560874.13091250299</v>
      </c>
      <c r="R299" s="325">
        <f t="shared" si="139"/>
        <v>-564184.40793332248</v>
      </c>
      <c r="S299" s="325">
        <f t="shared" si="139"/>
        <v>-567526.52336680377</v>
      </c>
      <c r="T299" s="325">
        <f t="shared" si="139"/>
        <v>-570900.78163474717</v>
      </c>
      <c r="U299" s="325">
        <f t="shared" si="139"/>
        <v>-574307.48985426663</v>
      </c>
      <c r="V299" s="325">
        <f t="shared" si="139"/>
        <v>-577746.95785644022</v>
      </c>
      <c r="W299" s="325">
        <f t="shared" si="139"/>
        <v>-581219.49820493162</v>
      </c>
      <c r="X299" s="325">
        <f t="shared" si="139"/>
        <v>-585619.67597190524</v>
      </c>
      <c r="Y299" s="325">
        <f t="shared" si="139"/>
        <v>-589158.21647859633</v>
      </c>
      <c r="Z299" s="325">
        <f t="shared" si="139"/>
        <v>-592730.76804697805</v>
      </c>
      <c r="AA299" s="325">
        <f t="shared" si="139"/>
        <v>-596337.65418481291</v>
      </c>
      <c r="AB299" s="325">
        <f t="shared" si="139"/>
        <v>-599979.20122238831</v>
      </c>
      <c r="AC299" s="325">
        <f t="shared" si="139"/>
        <v>-603655.73833078658</v>
      </c>
      <c r="AD299" s="365">
        <f>SUM(F299:AC299)</f>
        <v>-27205286.643530469</v>
      </c>
    </row>
    <row r="300" spans="1:60" s="113" customFormat="1" ht="12">
      <c r="A300" s="111"/>
      <c r="B300" s="111"/>
      <c r="D300" s="111"/>
      <c r="E300" s="111"/>
      <c r="F300" s="111"/>
      <c r="G300" s="111"/>
      <c r="H300" s="111"/>
      <c r="I300" s="111"/>
      <c r="J300" s="111"/>
      <c r="K300" s="111"/>
      <c r="L300" s="111"/>
      <c r="M300" s="111"/>
      <c r="N300" s="111"/>
      <c r="O300" s="111"/>
      <c r="P300" s="111"/>
      <c r="Q300" s="111"/>
      <c r="R300" s="111"/>
      <c r="S300" s="111"/>
      <c r="T300" s="111"/>
      <c r="U300" s="111"/>
      <c r="V300" s="111"/>
      <c r="W300" s="111"/>
      <c r="X300" s="111"/>
      <c r="Y300" s="111"/>
      <c r="Z300" s="111"/>
      <c r="AA300" s="111"/>
      <c r="AB300" s="111"/>
      <c r="AC300" s="111"/>
      <c r="AD300" s="364"/>
    </row>
    <row r="301" spans="1:60" s="113" customFormat="1" ht="12">
      <c r="A301" s="111"/>
      <c r="B301" s="111"/>
      <c r="C301" s="291" t="s">
        <v>87</v>
      </c>
      <c r="D301" s="111"/>
      <c r="E301" s="111"/>
      <c r="F301" s="326">
        <f t="shared" ref="F301:AC301" si="140">F59+F78+F105+F145+F153+F172+F206+F219-F217+F239+F244+F257+F259+F277+F279+F281+F222</f>
        <v>0</v>
      </c>
      <c r="G301" s="326">
        <f t="shared" si="140"/>
        <v>0</v>
      </c>
      <c r="H301" s="326">
        <f t="shared" si="140"/>
        <v>0</v>
      </c>
      <c r="I301" s="326">
        <f t="shared" si="140"/>
        <v>0</v>
      </c>
      <c r="J301" s="326">
        <f t="shared" si="140"/>
        <v>1327981.5254437546</v>
      </c>
      <c r="K301" s="326">
        <f t="shared" si="140"/>
        <v>1723535.9689332123</v>
      </c>
      <c r="L301" s="326">
        <f t="shared" si="140"/>
        <v>1754538.4654914823</v>
      </c>
      <c r="M301" s="326">
        <f t="shared" si="140"/>
        <v>856122.50043688924</v>
      </c>
      <c r="N301" s="326">
        <f t="shared" si="140"/>
        <v>1788581.1120546684</v>
      </c>
      <c r="O301" s="326">
        <f t="shared" si="140"/>
        <v>1791689.0443931066</v>
      </c>
      <c r="P301" s="326">
        <f t="shared" si="140"/>
        <v>1797826.0707480544</v>
      </c>
      <c r="Q301" s="326">
        <f t="shared" si="140"/>
        <v>1804005.7748926224</v>
      </c>
      <c r="R301" s="326">
        <f t="shared" si="140"/>
        <v>1810250.1968411906</v>
      </c>
      <c r="S301" s="326">
        <f t="shared" si="140"/>
        <v>1816538.5274295646</v>
      </c>
      <c r="T301" s="326">
        <f t="shared" si="140"/>
        <v>1822892.5381608945</v>
      </c>
      <c r="U301" s="326">
        <f t="shared" si="140"/>
        <v>1829291.7176074618</v>
      </c>
      <c r="V301" s="326">
        <f t="shared" si="140"/>
        <v>1835757.5594648661</v>
      </c>
      <c r="W301" s="326">
        <f t="shared" si="140"/>
        <v>1842269.8601777875</v>
      </c>
      <c r="X301" s="326">
        <f t="shared" si="140"/>
        <v>1856054.7201836407</v>
      </c>
      <c r="Y301" s="326">
        <f t="shared" si="140"/>
        <v>1862698.0975459204</v>
      </c>
      <c r="Z301" s="326">
        <f t="shared" si="140"/>
        <v>1870153.0346653585</v>
      </c>
      <c r="AA301" s="326">
        <f t="shared" si="140"/>
        <v>1877689.7150132845</v>
      </c>
      <c r="AB301" s="326">
        <f t="shared" si="140"/>
        <v>1885288.4390265585</v>
      </c>
      <c r="AC301" s="326">
        <f t="shared" si="140"/>
        <v>1892970.6494384927</v>
      </c>
      <c r="AD301" s="366">
        <f>SUM(F301:AC301)</f>
        <v>35046135.517948806</v>
      </c>
    </row>
    <row r="302" spans="1:60" s="113" customFormat="1" ht="12">
      <c r="A302" s="111"/>
      <c r="B302" s="111"/>
      <c r="C302" s="115"/>
      <c r="D302" s="111"/>
      <c r="E302" s="281"/>
      <c r="F302" s="111"/>
      <c r="G302" s="111"/>
      <c r="H302" s="111"/>
      <c r="I302" s="111"/>
      <c r="J302" s="111"/>
      <c r="K302" s="111"/>
      <c r="L302" s="111"/>
      <c r="M302" s="111"/>
      <c r="N302" s="111"/>
      <c r="O302" s="111"/>
      <c r="P302" s="111"/>
      <c r="Q302" s="111"/>
      <c r="R302" s="111"/>
      <c r="S302" s="111"/>
      <c r="T302" s="111"/>
      <c r="U302" s="111"/>
      <c r="V302" s="111"/>
      <c r="W302" s="111"/>
      <c r="X302" s="111"/>
      <c r="Y302" s="111"/>
      <c r="Z302" s="111"/>
      <c r="AA302" s="111"/>
      <c r="AB302" s="111"/>
      <c r="AC302" s="111"/>
      <c r="AD302" s="364"/>
    </row>
    <row r="303" spans="1:60" s="113" customFormat="1" ht="12">
      <c r="A303" s="111"/>
      <c r="B303" s="111"/>
      <c r="C303" s="115"/>
      <c r="D303" s="111"/>
      <c r="E303" s="281" t="s">
        <v>550</v>
      </c>
      <c r="F303" s="329">
        <f>F299+F301</f>
        <v>-1035667</v>
      </c>
      <c r="G303" s="329">
        <f t="shared" ref="G303:AC303" si="141">G299+G301</f>
        <v>-2319515</v>
      </c>
      <c r="H303" s="329">
        <f t="shared" si="141"/>
        <v>-3859895.7593749999</v>
      </c>
      <c r="I303" s="329">
        <f t="shared" si="141"/>
        <v>-7116871.5062499996</v>
      </c>
      <c r="J303" s="329">
        <f t="shared" si="141"/>
        <v>-811629.32544594398</v>
      </c>
      <c r="K303" s="329">
        <f t="shared" si="141"/>
        <v>1189112.2402755762</v>
      </c>
      <c r="L303" s="329">
        <f t="shared" si="141"/>
        <v>1213362.5868678743</v>
      </c>
      <c r="M303" s="329">
        <f t="shared" si="141"/>
        <v>425311.22919174214</v>
      </c>
      <c r="N303" s="329">
        <f t="shared" si="141"/>
        <v>1237449.7859091386</v>
      </c>
      <c r="O303" s="329">
        <f t="shared" si="141"/>
        <v>1237341.1566069298</v>
      </c>
      <c r="P303" s="329">
        <f t="shared" si="141"/>
        <v>1240230.6801888663</v>
      </c>
      <c r="Q303" s="329">
        <f t="shared" si="141"/>
        <v>1243131.6439801194</v>
      </c>
      <c r="R303" s="329">
        <f t="shared" si="141"/>
        <v>1246065.7889078681</v>
      </c>
      <c r="S303" s="329">
        <f t="shared" si="141"/>
        <v>1249012.0040627609</v>
      </c>
      <c r="T303" s="329">
        <f t="shared" si="141"/>
        <v>1251991.7565261475</v>
      </c>
      <c r="U303" s="329">
        <f t="shared" si="141"/>
        <v>1254984.2277531952</v>
      </c>
      <c r="V303" s="329">
        <f t="shared" si="141"/>
        <v>1258010.6016084258</v>
      </c>
      <c r="W303" s="329">
        <f t="shared" si="141"/>
        <v>1261050.3619728559</v>
      </c>
      <c r="X303" s="329">
        <f t="shared" si="141"/>
        <v>1270435.0442117355</v>
      </c>
      <c r="Y303" s="329">
        <f t="shared" si="141"/>
        <v>1273539.881067324</v>
      </c>
      <c r="Z303" s="329">
        <f t="shared" si="141"/>
        <v>1277422.2666183803</v>
      </c>
      <c r="AA303" s="329">
        <f t="shared" si="141"/>
        <v>1281352.0608284716</v>
      </c>
      <c r="AB303" s="329">
        <f t="shared" si="141"/>
        <v>1285309.2378041702</v>
      </c>
      <c r="AC303" s="329">
        <f t="shared" si="141"/>
        <v>1289314.9111077061</v>
      </c>
      <c r="AD303" s="365"/>
    </row>
    <row r="304" spans="1:60" s="53" customFormat="1" ht="12">
      <c r="A304" s="45"/>
      <c r="B304" s="45"/>
      <c r="C304" s="50"/>
      <c r="D304" s="68"/>
      <c r="E304" s="55" t="s">
        <v>550</v>
      </c>
      <c r="F304" s="330">
        <f>F303-F287</f>
        <v>0</v>
      </c>
      <c r="G304" s="330">
        <f t="shared" ref="G304:AC304" si="142">G303-G287</f>
        <v>0</v>
      </c>
      <c r="H304" s="330">
        <f t="shared" si="142"/>
        <v>0</v>
      </c>
      <c r="I304" s="330">
        <f t="shared" si="142"/>
        <v>0</v>
      </c>
      <c r="J304" s="330">
        <f t="shared" si="142"/>
        <v>-50693.66734566784</v>
      </c>
      <c r="K304" s="330">
        <f t="shared" si="142"/>
        <v>-69256.285729786381</v>
      </c>
      <c r="L304" s="330">
        <f t="shared" si="142"/>
        <v>-70047.050854021916</v>
      </c>
      <c r="M304" s="330">
        <f t="shared" si="142"/>
        <v>-66357.59688339592</v>
      </c>
      <c r="N304" s="330">
        <f t="shared" si="142"/>
        <v>-71509.934188355459</v>
      </c>
      <c r="O304" s="330">
        <f t="shared" si="142"/>
        <v>-72182.182870022021</v>
      </c>
      <c r="P304" s="330">
        <f t="shared" si="142"/>
        <v>-72861.119362037396</v>
      </c>
      <c r="Q304" s="330">
        <f t="shared" si="142"/>
        <v>-73546.81054250407</v>
      </c>
      <c r="R304" s="330">
        <f t="shared" si="142"/>
        <v>-74239.323958307039</v>
      </c>
      <c r="S304" s="330">
        <f t="shared" si="142"/>
        <v>-74938.727831800468</v>
      </c>
      <c r="T304" s="330">
        <f t="shared" si="142"/>
        <v>-75645.091067559551</v>
      </c>
      <c r="U304" s="330">
        <f t="shared" si="142"/>
        <v>-76358.483259207802</v>
      </c>
      <c r="V304" s="330">
        <f t="shared" si="142"/>
        <v>-77078.974696305115</v>
      </c>
      <c r="W304" s="330">
        <f t="shared" si="142"/>
        <v>-77806.636371304514</v>
      </c>
      <c r="X304" s="330">
        <f t="shared" si="142"/>
        <v>-78576.503952476196</v>
      </c>
      <c r="Y304" s="330">
        <f t="shared" si="142"/>
        <v>-79318.748063581763</v>
      </c>
      <c r="Z304" s="330">
        <f t="shared" si="142"/>
        <v>-80068.379677967634</v>
      </c>
      <c r="AA304" s="330">
        <f t="shared" si="142"/>
        <v>-80825.472670667805</v>
      </c>
      <c r="AB304" s="330">
        <f t="shared" si="142"/>
        <v>-81590.101655465784</v>
      </c>
      <c r="AC304" s="330">
        <f t="shared" si="142"/>
        <v>-82362.341992281843</v>
      </c>
      <c r="AD304" s="356"/>
    </row>
    <row r="305" spans="1:63" s="53" customFormat="1" ht="12">
      <c r="A305" s="45"/>
      <c r="B305" s="45"/>
      <c r="C305" s="50"/>
      <c r="D305" s="68"/>
      <c r="E305" s="45"/>
      <c r="F305" s="45"/>
      <c r="G305" s="60"/>
      <c r="AD305" s="338"/>
      <c r="AE305" s="110">
        <v>2036</v>
      </c>
      <c r="AF305" s="110">
        <f>AE305+1</f>
        <v>2037</v>
      </c>
      <c r="AG305" s="110">
        <f t="shared" ref="AG305" si="143">AF305+1</f>
        <v>2038</v>
      </c>
      <c r="AH305" s="110">
        <f t="shared" ref="AH305" si="144">AG305+1</f>
        <v>2039</v>
      </c>
      <c r="AI305" s="110">
        <f t="shared" ref="AI305" si="145">AH305+1</f>
        <v>2040</v>
      </c>
      <c r="AJ305" s="110">
        <f t="shared" ref="AJ305" si="146">AI305+1</f>
        <v>2041</v>
      </c>
      <c r="AK305" s="110">
        <f t="shared" ref="AK305" si="147">AJ305+1</f>
        <v>2042</v>
      </c>
      <c r="AL305" s="110">
        <f t="shared" ref="AL305" si="148">AK305+1</f>
        <v>2043</v>
      </c>
      <c r="AM305" s="110">
        <f t="shared" ref="AM305" si="149">AL305+1</f>
        <v>2044</v>
      </c>
      <c r="AN305" s="110">
        <f t="shared" ref="AN305" si="150">AM305+1</f>
        <v>2045</v>
      </c>
      <c r="AO305" s="110">
        <f t="shared" ref="AO305" si="151">AN305+1</f>
        <v>2046</v>
      </c>
      <c r="AP305" s="110">
        <f t="shared" ref="AP305" si="152">AO305+1</f>
        <v>2047</v>
      </c>
      <c r="AQ305" s="110">
        <f t="shared" ref="AQ305" si="153">AP305+1</f>
        <v>2048</v>
      </c>
      <c r="AR305" s="110">
        <f t="shared" ref="AR305" si="154">AQ305+1</f>
        <v>2049</v>
      </c>
      <c r="AS305" s="110">
        <f t="shared" ref="AS305" si="155">AR305+1</f>
        <v>2050</v>
      </c>
      <c r="AT305" s="110">
        <f t="shared" ref="AT305" si="156">AS305+1</f>
        <v>2051</v>
      </c>
      <c r="AU305" s="110">
        <f t="shared" ref="AU305" si="157">AT305+1</f>
        <v>2052</v>
      </c>
      <c r="AV305" s="110">
        <f t="shared" ref="AV305" si="158">AU305+1</f>
        <v>2053</v>
      </c>
      <c r="AW305" s="110">
        <f t="shared" ref="AW305" si="159">AV305+1</f>
        <v>2054</v>
      </c>
      <c r="AX305" s="110">
        <f t="shared" ref="AX305" si="160">AW305+1</f>
        <v>2055</v>
      </c>
      <c r="AY305" s="110">
        <f t="shared" ref="AY305" si="161">AX305+1</f>
        <v>2056</v>
      </c>
      <c r="AZ305" s="110">
        <f t="shared" ref="AZ305" si="162">AY305+1</f>
        <v>2057</v>
      </c>
      <c r="BA305" s="110">
        <f t="shared" ref="BA305" si="163">AZ305+1</f>
        <v>2058</v>
      </c>
      <c r="BB305" s="110">
        <f t="shared" ref="BB305" si="164">BA305+1</f>
        <v>2059</v>
      </c>
      <c r="BC305" s="110">
        <f t="shared" ref="BC305" si="165">BB305+1</f>
        <v>2060</v>
      </c>
      <c r="BD305" s="110">
        <f t="shared" ref="BD305" si="166">BC305+1</f>
        <v>2061</v>
      </c>
      <c r="BE305" s="110">
        <f t="shared" ref="BE305" si="167">BD305+1</f>
        <v>2062</v>
      </c>
      <c r="BF305" s="110">
        <f t="shared" ref="BF305" si="168">BE305+1</f>
        <v>2063</v>
      </c>
      <c r="BG305" s="110">
        <f t="shared" ref="BG305" si="169">BF305+1</f>
        <v>2064</v>
      </c>
      <c r="BH305" s="110">
        <f t="shared" ref="BH305" si="170">BG305+1</f>
        <v>2065</v>
      </c>
    </row>
    <row r="306" spans="1:63" s="53" customFormat="1" ht="12">
      <c r="A306" s="45"/>
      <c r="B306" s="45"/>
      <c r="C306" s="50"/>
      <c r="D306" s="68"/>
      <c r="E306" s="333" t="s">
        <v>551</v>
      </c>
      <c r="F306" s="330">
        <f>F6/1000000</f>
        <v>-1.0356669999999999</v>
      </c>
      <c r="G306" s="330">
        <f t="shared" ref="G306:J306" si="171">G6/1000000</f>
        <v>-2.319515</v>
      </c>
      <c r="H306" s="330">
        <f t="shared" si="171"/>
        <v>-3.5176970000000001</v>
      </c>
      <c r="I306" s="330">
        <f t="shared" si="171"/>
        <v>-6.8887390000000002</v>
      </c>
      <c r="J306" s="330">
        <f t="shared" si="171"/>
        <v>-1.7933829999999999</v>
      </c>
      <c r="K306" s="330">
        <f>K6/1000000</f>
        <v>0</v>
      </c>
      <c r="AD306" s="456">
        <f t="shared" ref="AD306:AD308" si="172">SUM(F306:AC306)</f>
        <v>-15.555001000000001</v>
      </c>
      <c r="AS306" s="458"/>
      <c r="AY306" s="328"/>
      <c r="BI306" s="333" t="s">
        <v>551</v>
      </c>
      <c r="BK306" s="288">
        <f>SUM(AE306:BH306)</f>
        <v>0</v>
      </c>
    </row>
    <row r="307" spans="1:63" s="53" customFormat="1" ht="12">
      <c r="A307" s="45"/>
      <c r="B307" s="45"/>
      <c r="C307" s="50"/>
      <c r="D307" s="45"/>
      <c r="E307" s="333" t="s">
        <v>552</v>
      </c>
      <c r="F307" s="330">
        <f>F299/1000000-F306</f>
        <v>0</v>
      </c>
      <c r="G307" s="330">
        <f t="shared" ref="G307:L307" si="173">G299/1000000-G306</f>
        <v>0</v>
      </c>
      <c r="H307" s="330">
        <f t="shared" si="173"/>
        <v>-0.34219875937499999</v>
      </c>
      <c r="I307" s="330">
        <f t="shared" si="173"/>
        <v>-0.2281325062499997</v>
      </c>
      <c r="J307" s="330">
        <f t="shared" si="173"/>
        <v>-0.34622785088969854</v>
      </c>
      <c r="K307" s="330">
        <f t="shared" si="173"/>
        <v>-0.53442372865763599</v>
      </c>
      <c r="L307" s="330">
        <f t="shared" si="173"/>
        <v>-0.54117587862360805</v>
      </c>
      <c r="M307" s="330">
        <f t="shared" ref="M307:AC307" si="174">M299/1000000</f>
        <v>-0.43081127124514712</v>
      </c>
      <c r="N307" s="330">
        <f t="shared" si="174"/>
        <v>-0.55113132614552962</v>
      </c>
      <c r="O307" s="330">
        <f t="shared" si="174"/>
        <v>-0.55434788778617661</v>
      </c>
      <c r="P307" s="330">
        <f t="shared" si="174"/>
        <v>-0.55759539055918794</v>
      </c>
      <c r="Q307" s="330">
        <f t="shared" si="174"/>
        <v>-0.56087413091250304</v>
      </c>
      <c r="R307" s="330">
        <f t="shared" si="174"/>
        <v>-0.56418440793332247</v>
      </c>
      <c r="S307" s="330">
        <f t="shared" si="174"/>
        <v>-0.56752652336680376</v>
      </c>
      <c r="T307" s="330">
        <f t="shared" si="174"/>
        <v>-0.57090078163474711</v>
      </c>
      <c r="U307" s="330">
        <f t="shared" si="174"/>
        <v>-0.57430748985426661</v>
      </c>
      <c r="V307" s="330">
        <f t="shared" si="174"/>
        <v>-0.57774695785644026</v>
      </c>
      <c r="W307" s="330">
        <f t="shared" si="174"/>
        <v>-0.58121949820493157</v>
      </c>
      <c r="X307" s="330">
        <f t="shared" si="174"/>
        <v>-0.58561967597190523</v>
      </c>
      <c r="Y307" s="330">
        <f t="shared" si="174"/>
        <v>-0.58915821647859634</v>
      </c>
      <c r="Z307" s="330">
        <f t="shared" si="174"/>
        <v>-0.592730768046978</v>
      </c>
      <c r="AA307" s="330">
        <f t="shared" si="174"/>
        <v>-0.59633765418481288</v>
      </c>
      <c r="AB307" s="330">
        <f t="shared" si="174"/>
        <v>-0.59997920122238835</v>
      </c>
      <c r="AC307" s="330">
        <f t="shared" si="174"/>
        <v>-0.60365573833078656</v>
      </c>
      <c r="AD307" s="456">
        <f t="shared" si="172"/>
        <v>-11.650285643530466</v>
      </c>
      <c r="AE307" s="356">
        <f>AVERAGE(X307:AC307)</f>
        <v>-0.59458020903924458</v>
      </c>
      <c r="AF307" s="356">
        <v>-0.60888424036084443</v>
      </c>
      <c r="AG307" s="356">
        <v>-0.60888424036084443</v>
      </c>
      <c r="AH307" s="356">
        <v>-0.60888424036084443</v>
      </c>
      <c r="AI307" s="356">
        <v>-0.60888424036084443</v>
      </c>
      <c r="AJ307" s="356">
        <v>-0.60888424036084443</v>
      </c>
      <c r="AK307" s="356">
        <v>-0.60888424036084443</v>
      </c>
      <c r="AL307" s="356">
        <v>-0.60888424036084443</v>
      </c>
      <c r="AM307" s="356">
        <v>-0.60888424036084443</v>
      </c>
      <c r="AN307" s="356">
        <v>-0.60888424036084443</v>
      </c>
      <c r="AO307" s="356">
        <v>-0.60888424036084443</v>
      </c>
      <c r="AP307" s="356">
        <v>-0.60888424036084443</v>
      </c>
      <c r="AQ307" s="356">
        <v>-0.60888424036084443</v>
      </c>
      <c r="AR307" s="356">
        <v>-0.60888424036084443</v>
      </c>
      <c r="AS307" s="455">
        <v>-1.6088842403608401</v>
      </c>
      <c r="AT307" s="356">
        <v>-0.60888424036084443</v>
      </c>
      <c r="AU307" s="356">
        <v>-0.60888424036084443</v>
      </c>
      <c r="AV307" s="356">
        <v>-0.60888424036084443</v>
      </c>
      <c r="AW307" s="356">
        <v>-0.60888424036084443</v>
      </c>
      <c r="AX307" s="356">
        <v>-0.60888424036084443</v>
      </c>
      <c r="AY307" s="356">
        <v>-0.60888424036084443</v>
      </c>
      <c r="AZ307" s="356">
        <v>-0.60888424036084443</v>
      </c>
      <c r="BA307" s="356">
        <v>-0.60888424036084443</v>
      </c>
      <c r="BB307" s="356">
        <v>-0.60888424036084443</v>
      </c>
      <c r="BC307" s="356">
        <v>-0.60888424036084443</v>
      </c>
      <c r="BD307" s="356">
        <v>-0.60888424036084443</v>
      </c>
      <c r="BE307" s="356">
        <v>-0.60888424036084443</v>
      </c>
      <c r="BF307" s="356">
        <v>-0.60888424036084443</v>
      </c>
      <c r="BG307" s="356">
        <v>-0.60888424036084443</v>
      </c>
      <c r="BH307" s="356">
        <v>-0.60888424036084443</v>
      </c>
      <c r="BI307" s="333" t="s">
        <v>552</v>
      </c>
      <c r="BK307" s="288">
        <f>SUM(AE307:BH307)</f>
        <v>-19.252223179503723</v>
      </c>
    </row>
    <row r="308" spans="1:63" s="53" customFormat="1" ht="12">
      <c r="A308" s="64"/>
      <c r="B308" s="64"/>
      <c r="C308" s="51"/>
      <c r="D308" s="45"/>
      <c r="E308" s="331" t="str">
        <f>C301</f>
        <v>BENEFITS</v>
      </c>
      <c r="F308" s="332">
        <f>F301/1000000</f>
        <v>0</v>
      </c>
      <c r="G308" s="332">
        <f t="shared" ref="G308:AC308" si="175">G301/1000000</f>
        <v>0</v>
      </c>
      <c r="H308" s="332">
        <f t="shared" si="175"/>
        <v>0</v>
      </c>
      <c r="I308" s="332">
        <f t="shared" si="175"/>
        <v>0</v>
      </c>
      <c r="J308" s="332">
        <f t="shared" si="175"/>
        <v>1.3279815254437546</v>
      </c>
      <c r="K308" s="332">
        <f t="shared" si="175"/>
        <v>1.7235359689332124</v>
      </c>
      <c r="L308" s="332">
        <f t="shared" si="175"/>
        <v>1.7545384654914822</v>
      </c>
      <c r="M308" s="332">
        <f t="shared" si="175"/>
        <v>0.8561225004368892</v>
      </c>
      <c r="N308" s="332">
        <f t="shared" si="175"/>
        <v>1.7885811120546684</v>
      </c>
      <c r="O308" s="332">
        <f t="shared" si="175"/>
        <v>1.7916890443931066</v>
      </c>
      <c r="P308" s="332">
        <f t="shared" si="175"/>
        <v>1.7978260707480545</v>
      </c>
      <c r="Q308" s="332">
        <f t="shared" si="175"/>
        <v>1.8040057748926224</v>
      </c>
      <c r="R308" s="332">
        <f t="shared" si="175"/>
        <v>1.8102501968411906</v>
      </c>
      <c r="S308" s="332">
        <f t="shared" si="175"/>
        <v>1.8165385274295647</v>
      </c>
      <c r="T308" s="332">
        <f t="shared" si="175"/>
        <v>1.8228925381608945</v>
      </c>
      <c r="U308" s="332">
        <f t="shared" si="175"/>
        <v>1.8292917176074619</v>
      </c>
      <c r="V308" s="332">
        <f t="shared" si="175"/>
        <v>1.8357575594648661</v>
      </c>
      <c r="W308" s="332">
        <f t="shared" si="175"/>
        <v>1.8422698601777874</v>
      </c>
      <c r="X308" s="332">
        <f t="shared" si="175"/>
        <v>1.8560547201836408</v>
      </c>
      <c r="Y308" s="332">
        <f t="shared" si="175"/>
        <v>1.8626980975459204</v>
      </c>
      <c r="Z308" s="332">
        <f t="shared" si="175"/>
        <v>1.8701530346653585</v>
      </c>
      <c r="AA308" s="332">
        <f t="shared" si="175"/>
        <v>1.8776897150132845</v>
      </c>
      <c r="AB308" s="332">
        <f t="shared" si="175"/>
        <v>1.8852884390265585</v>
      </c>
      <c r="AC308" s="332">
        <f t="shared" si="175"/>
        <v>1.8929706494384928</v>
      </c>
      <c r="AD308" s="456">
        <f t="shared" si="172"/>
        <v>35.046135517948812</v>
      </c>
      <c r="AE308" s="356">
        <f>AVERAGE(X308:AC308)</f>
        <v>1.8741424426455424</v>
      </c>
      <c r="AF308" s="356">
        <v>1.9420937057743568</v>
      </c>
      <c r="AG308" s="356">
        <v>1.9420937057743568</v>
      </c>
      <c r="AH308" s="356">
        <v>1.9420937057743568</v>
      </c>
      <c r="AI308" s="356">
        <v>1.9420937057743568</v>
      </c>
      <c r="AJ308" s="356">
        <v>1.9420937057743568</v>
      </c>
      <c r="AK308" s="356">
        <v>1.9420937057743568</v>
      </c>
      <c r="AL308" s="356">
        <v>1.9420937057743568</v>
      </c>
      <c r="AM308" s="356">
        <v>1.9420937057743568</v>
      </c>
      <c r="AN308" s="356">
        <v>1.9420937057743568</v>
      </c>
      <c r="AO308" s="356">
        <v>1.9420937057743568</v>
      </c>
      <c r="AP308" s="356">
        <v>1.9420937057743568</v>
      </c>
      <c r="AQ308" s="356">
        <v>1.9420937057743568</v>
      </c>
      <c r="AR308" s="356">
        <v>1.9420937057743568</v>
      </c>
      <c r="AS308" s="356">
        <v>1.9420937057743568</v>
      </c>
      <c r="AT308" s="356">
        <v>1.9420937057743568</v>
      </c>
      <c r="AU308" s="356">
        <v>1.9420937057743568</v>
      </c>
      <c r="AV308" s="356">
        <v>1.9420937057743568</v>
      </c>
      <c r="AW308" s="356">
        <v>1.9420937057743568</v>
      </c>
      <c r="AX308" s="356">
        <v>1.9420937057743568</v>
      </c>
      <c r="AY308" s="356">
        <v>1.9420937057743568</v>
      </c>
      <c r="AZ308" s="356">
        <v>1.9420937057743568</v>
      </c>
      <c r="BA308" s="288">
        <v>1.9420937057743568</v>
      </c>
      <c r="BB308" s="53">
        <v>1.9420937057743568</v>
      </c>
      <c r="BC308" s="53">
        <v>1.9420937057743568</v>
      </c>
      <c r="BD308" s="53">
        <v>1.9420937057743568</v>
      </c>
      <c r="BE308" s="53">
        <v>1.9420937057743568</v>
      </c>
      <c r="BF308" s="53">
        <v>1.9420937057743568</v>
      </c>
      <c r="BG308" s="53">
        <v>1.9420937057743568</v>
      </c>
      <c r="BH308" s="53">
        <v>1.9420937057743568</v>
      </c>
      <c r="BI308" s="331" t="s">
        <v>87</v>
      </c>
      <c r="BK308" s="288">
        <f>SUM(AE308:BH308)</f>
        <v>58.194859910101862</v>
      </c>
    </row>
    <row r="309" spans="1:63" s="45" customFormat="1" ht="12">
      <c r="A309" s="64"/>
      <c r="B309" s="64"/>
      <c r="C309" s="51"/>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328"/>
      <c r="AE309" s="328"/>
      <c r="AF309" s="328"/>
      <c r="AG309" s="328"/>
      <c r="AH309" s="328"/>
      <c r="AI309" s="328"/>
      <c r="AJ309" s="328"/>
      <c r="AK309" s="328"/>
      <c r="AL309" s="328"/>
      <c r="AM309" s="328"/>
      <c r="AN309" s="328"/>
      <c r="AO309" s="328"/>
      <c r="AP309" s="328"/>
      <c r="AQ309" s="328"/>
      <c r="AR309" s="328"/>
      <c r="AS309" s="328"/>
      <c r="AT309" s="328"/>
      <c r="AU309" s="328"/>
      <c r="AV309" s="328"/>
      <c r="AW309" s="328"/>
      <c r="AX309" s="328"/>
      <c r="AY309" s="328"/>
      <c r="AZ309" s="328"/>
      <c r="BA309" s="328"/>
    </row>
    <row r="310" spans="1:63" s="53" customFormat="1" ht="12">
      <c r="A310" s="45"/>
      <c r="B310" s="45"/>
      <c r="C310" s="51"/>
      <c r="D310" s="45"/>
      <c r="E310" s="45"/>
      <c r="F310" s="328">
        <f>F306*F$288</f>
        <v>-1.0055019417475728</v>
      </c>
      <c r="G310" s="328">
        <f t="shared" ref="G310:AC312" si="176">G306*G$288</f>
        <v>-2.1863653501743801</v>
      </c>
      <c r="H310" s="328">
        <f t="shared" si="176"/>
        <v>-3.219191069681631</v>
      </c>
      <c r="I310" s="328">
        <f t="shared" si="176"/>
        <v>-6.1205553779716739</v>
      </c>
      <c r="J310" s="328">
        <f t="shared" si="176"/>
        <v>-1.5469879295652249</v>
      </c>
      <c r="K310" s="328">
        <f t="shared" si="176"/>
        <v>0</v>
      </c>
      <c r="L310" s="328">
        <f t="shared" si="176"/>
        <v>0</v>
      </c>
      <c r="M310" s="328">
        <f t="shared" si="176"/>
        <v>0</v>
      </c>
      <c r="N310" s="328">
        <f t="shared" si="176"/>
        <v>0</v>
      </c>
      <c r="O310" s="328">
        <f t="shared" si="176"/>
        <v>0</v>
      </c>
      <c r="P310" s="328">
        <f t="shared" si="176"/>
        <v>0</v>
      </c>
      <c r="Q310" s="328">
        <f t="shared" si="176"/>
        <v>0</v>
      </c>
      <c r="R310" s="328">
        <f t="shared" si="176"/>
        <v>0</v>
      </c>
      <c r="S310" s="328">
        <f t="shared" si="176"/>
        <v>0</v>
      </c>
      <c r="T310" s="328">
        <f t="shared" si="176"/>
        <v>0</v>
      </c>
      <c r="U310" s="328">
        <f t="shared" si="176"/>
        <v>0</v>
      </c>
      <c r="V310" s="328">
        <f t="shared" si="176"/>
        <v>0</v>
      </c>
      <c r="W310" s="328">
        <f t="shared" si="176"/>
        <v>0</v>
      </c>
      <c r="X310" s="328">
        <f t="shared" si="176"/>
        <v>0</v>
      </c>
      <c r="Y310" s="328">
        <f t="shared" si="176"/>
        <v>0</v>
      </c>
      <c r="Z310" s="328">
        <f t="shared" si="176"/>
        <v>0</v>
      </c>
      <c r="AA310" s="328">
        <f t="shared" si="176"/>
        <v>0</v>
      </c>
      <c r="AB310" s="328">
        <f t="shared" si="176"/>
        <v>0</v>
      </c>
      <c r="AC310" s="328">
        <f t="shared" si="176"/>
        <v>0</v>
      </c>
      <c r="AD310" s="456">
        <f>SUM(F310:AC310)</f>
        <v>-14.078601669140481</v>
      </c>
      <c r="AE310" s="328">
        <f t="shared" ref="AE310:BG310" si="177">AE306*AE$288</f>
        <v>0</v>
      </c>
      <c r="AF310" s="328">
        <f t="shared" si="177"/>
        <v>0</v>
      </c>
      <c r="AG310" s="328">
        <f t="shared" si="177"/>
        <v>0</v>
      </c>
      <c r="AH310" s="328">
        <f t="shared" si="177"/>
        <v>0</v>
      </c>
      <c r="AI310" s="328">
        <f t="shared" si="177"/>
        <v>0</v>
      </c>
      <c r="AJ310" s="328">
        <f t="shared" si="177"/>
        <v>0</v>
      </c>
      <c r="AK310" s="328">
        <f t="shared" si="177"/>
        <v>0</v>
      </c>
      <c r="AL310" s="328">
        <f t="shared" si="177"/>
        <v>0</v>
      </c>
      <c r="AM310" s="328">
        <f t="shared" si="177"/>
        <v>0</v>
      </c>
      <c r="AN310" s="328">
        <f t="shared" si="177"/>
        <v>0</v>
      </c>
      <c r="AO310" s="328">
        <f t="shared" si="177"/>
        <v>0</v>
      </c>
      <c r="AP310" s="328">
        <f t="shared" si="177"/>
        <v>0</v>
      </c>
      <c r="AQ310" s="328">
        <f t="shared" si="177"/>
        <v>0</v>
      </c>
      <c r="AR310" s="328">
        <f t="shared" si="177"/>
        <v>0</v>
      </c>
      <c r="AS310" s="328">
        <f>AS306*AS$288</f>
        <v>0</v>
      </c>
      <c r="AT310" s="328">
        <f t="shared" si="177"/>
        <v>0</v>
      </c>
      <c r="AU310" s="328">
        <f t="shared" si="177"/>
        <v>0</v>
      </c>
      <c r="AV310" s="328">
        <f t="shared" si="177"/>
        <v>0</v>
      </c>
      <c r="AW310" s="328">
        <f t="shared" si="177"/>
        <v>0</v>
      </c>
      <c r="AX310" s="328">
        <f t="shared" si="177"/>
        <v>0</v>
      </c>
      <c r="AY310" s="328">
        <f>AY306*AY$288</f>
        <v>0</v>
      </c>
      <c r="AZ310" s="328">
        <f t="shared" si="177"/>
        <v>0</v>
      </c>
      <c r="BA310" s="328">
        <f t="shared" si="177"/>
        <v>0</v>
      </c>
      <c r="BB310" s="328">
        <f t="shared" si="177"/>
        <v>0</v>
      </c>
      <c r="BC310" s="328">
        <f t="shared" si="177"/>
        <v>0</v>
      </c>
      <c r="BD310" s="328">
        <f t="shared" si="177"/>
        <v>0</v>
      </c>
      <c r="BE310" s="328">
        <f t="shared" si="177"/>
        <v>0</v>
      </c>
      <c r="BF310" s="328">
        <f t="shared" si="177"/>
        <v>0</v>
      </c>
      <c r="BG310" s="328">
        <f t="shared" si="177"/>
        <v>0</v>
      </c>
      <c r="BH310" s="328">
        <f t="shared" ref="BH310" si="178">BH306*BH$288</f>
        <v>0</v>
      </c>
      <c r="BI310" s="333" t="s">
        <v>551</v>
      </c>
      <c r="BK310" s="288">
        <f>SUM(AE310:BH310)</f>
        <v>0</v>
      </c>
    </row>
    <row r="311" spans="1:63">
      <c r="A311" s="25"/>
      <c r="B311" s="25"/>
      <c r="C311" s="50"/>
      <c r="D311" s="25"/>
      <c r="F311" s="328">
        <f t="shared" ref="F311:U312" si="179">F307*F$288</f>
        <v>0</v>
      </c>
      <c r="G311" s="328">
        <f t="shared" si="179"/>
        <v>0</v>
      </c>
      <c r="H311" s="328">
        <f t="shared" si="179"/>
        <v>-0.31316034048303004</v>
      </c>
      <c r="I311" s="328">
        <f t="shared" si="179"/>
        <v>-0.20269277701166966</v>
      </c>
      <c r="J311" s="328">
        <f t="shared" si="179"/>
        <v>-0.29865918557590443</v>
      </c>
      <c r="K311" s="328">
        <f t="shared" si="179"/>
        <v>-0.44757145914894719</v>
      </c>
      <c r="L311" s="328">
        <f t="shared" si="179"/>
        <v>-0.44002551305263671</v>
      </c>
      <c r="M311" s="328">
        <f t="shared" si="179"/>
        <v>-0.34008639576744476</v>
      </c>
      <c r="N311" s="328">
        <f t="shared" si="179"/>
        <v>-0.42239627007666641</v>
      </c>
      <c r="O311" s="328">
        <f t="shared" si="179"/>
        <v>-0.41248689003754652</v>
      </c>
      <c r="P311" s="328">
        <f t="shared" si="179"/>
        <v>-0.40281877387335391</v>
      </c>
      <c r="Q311" s="328">
        <f t="shared" si="179"/>
        <v>-0.39338583074274919</v>
      </c>
      <c r="R311" s="328">
        <f t="shared" si="179"/>
        <v>-0.38418212858545348</v>
      </c>
      <c r="S311" s="328">
        <f t="shared" si="179"/>
        <v>-0.37520188987213049</v>
      </c>
      <c r="T311" s="328">
        <f t="shared" si="179"/>
        <v>-0.3664394874703869</v>
      </c>
      <c r="U311" s="328">
        <f t="shared" si="179"/>
        <v>-0.35788944062367001</v>
      </c>
      <c r="V311" s="328">
        <f t="shared" si="176"/>
        <v>-0.34954641103993211</v>
      </c>
      <c r="W311" s="328">
        <f t="shared" si="176"/>
        <v>-0.34140519908701833</v>
      </c>
      <c r="X311" s="328">
        <f t="shared" si="176"/>
        <v>-0.33397071823290458</v>
      </c>
      <c r="Y311" s="328">
        <f t="shared" si="176"/>
        <v>-0.32620261984386262</v>
      </c>
      <c r="Z311" s="328">
        <f t="shared" si="176"/>
        <v>-0.31862199517267564</v>
      </c>
      <c r="AA311" s="328">
        <f t="shared" si="176"/>
        <v>-0.31122414971296625</v>
      </c>
      <c r="AB311" s="328">
        <f t="shared" si="176"/>
        <v>-0.30400451048882338</v>
      </c>
      <c r="AC311" s="328">
        <f t="shared" si="176"/>
        <v>-0.29695862281984881</v>
      </c>
      <c r="AD311" s="456">
        <f t="shared" ref="AD311:AD316" si="180">SUM(F311:AC311)</f>
        <v>-7.7389306087196221</v>
      </c>
      <c r="AE311" s="328">
        <f t="shared" ref="AE311:AX311" si="181">AE307*AE$288</f>
        <v>-0.28397481920990475</v>
      </c>
      <c r="AF311" s="328">
        <f t="shared" si="181"/>
        <v>-0.28233641187572239</v>
      </c>
      <c r="AG311" s="328">
        <f t="shared" si="181"/>
        <v>-0.2741130212385654</v>
      </c>
      <c r="AH311" s="328">
        <f t="shared" si="181"/>
        <v>-0.26612914683355865</v>
      </c>
      <c r="AI311" s="328">
        <f t="shared" si="181"/>
        <v>-0.25837781245976565</v>
      </c>
      <c r="AJ311" s="328">
        <f t="shared" si="181"/>
        <v>-0.25085224510656862</v>
      </c>
      <c r="AK311" s="328">
        <f t="shared" si="181"/>
        <v>-0.24354586903550351</v>
      </c>
      <c r="AL311" s="328">
        <f t="shared" si="181"/>
        <v>-0.23645230003446943</v>
      </c>
      <c r="AM311" s="328">
        <f t="shared" si="181"/>
        <v>-0.2295653398392907</v>
      </c>
      <c r="AN311" s="328">
        <f t="shared" si="181"/>
        <v>-0.22287897071775797</v>
      </c>
      <c r="AO311" s="328">
        <f t="shared" si="181"/>
        <v>-0.21638735021141547</v>
      </c>
      <c r="AP311" s="328">
        <f t="shared" si="181"/>
        <v>-0.21008480603050045</v>
      </c>
      <c r="AQ311" s="328">
        <f t="shared" si="181"/>
        <v>-0.20396583109757324</v>
      </c>
      <c r="AR311" s="328">
        <f t="shared" si="181"/>
        <v>-0.19802507873550798</v>
      </c>
      <c r="AS311" s="328">
        <f t="shared" si="181"/>
        <v>-0.50801090399265802</v>
      </c>
      <c r="AT311" s="328">
        <f t="shared" si="181"/>
        <v>-0.18665762912197942</v>
      </c>
      <c r="AU311" s="328">
        <f t="shared" si="181"/>
        <v>-0.18122099914755282</v>
      </c>
      <c r="AV311" s="328">
        <f t="shared" si="181"/>
        <v>-0.17594271761898334</v>
      </c>
      <c r="AW311" s="328">
        <f t="shared" si="181"/>
        <v>-0.1708181724456149</v>
      </c>
      <c r="AX311" s="328">
        <f t="shared" si="181"/>
        <v>-0.165842885869529</v>
      </c>
      <c r="AY311" s="328">
        <f t="shared" ref="AY311:BG311" si="182">AY307*AY$288</f>
        <v>-0.16101251055294075</v>
      </c>
      <c r="AZ311" s="328">
        <f t="shared" si="182"/>
        <v>-0.15632282577955411</v>
      </c>
      <c r="BA311" s="328">
        <f t="shared" si="182"/>
        <v>-0.15176973376655739</v>
      </c>
      <c r="BB311" s="328">
        <f t="shared" si="182"/>
        <v>-0.14734925608403632</v>
      </c>
      <c r="BC311" s="328">
        <f t="shared" si="182"/>
        <v>-0.14305753017867603</v>
      </c>
      <c r="BD311" s="328">
        <f t="shared" si="182"/>
        <v>-0.13889080599871456</v>
      </c>
      <c r="BE311" s="328">
        <f t="shared" si="182"/>
        <v>-0.13484544271719862</v>
      </c>
      <c r="BF311" s="328">
        <f t="shared" si="182"/>
        <v>-0.13091790555067825</v>
      </c>
      <c r="BG311" s="328">
        <f t="shared" si="182"/>
        <v>-0.12710476267056142</v>
      </c>
      <c r="BH311" s="328">
        <f t="shared" ref="BH311" si="183">BH307*BH$288</f>
        <v>-0.12340268220442854</v>
      </c>
      <c r="BI311" s="333" t="s">
        <v>552</v>
      </c>
      <c r="BK311" s="288">
        <f>SUM(AE311:BH311)</f>
        <v>-6.1798557661257671</v>
      </c>
    </row>
    <row r="312" spans="1:63">
      <c r="A312" s="25"/>
      <c r="B312" s="25"/>
      <c r="C312" s="45"/>
      <c r="D312" s="42"/>
      <c r="E312" s="42"/>
      <c r="F312" s="328">
        <f t="shared" si="179"/>
        <v>0</v>
      </c>
      <c r="G312" s="328">
        <f t="shared" si="176"/>
        <v>0</v>
      </c>
      <c r="H312" s="328">
        <f t="shared" si="176"/>
        <v>0</v>
      </c>
      <c r="I312" s="328">
        <f t="shared" si="176"/>
        <v>0</v>
      </c>
      <c r="J312" s="328">
        <f t="shared" si="176"/>
        <v>1.1455285293476647</v>
      </c>
      <c r="K312" s="328">
        <f t="shared" si="176"/>
        <v>1.4434342398095732</v>
      </c>
      <c r="L312" s="328">
        <f t="shared" si="176"/>
        <v>1.4266003326165175</v>
      </c>
      <c r="M312" s="328">
        <f t="shared" si="176"/>
        <v>0.67583100754881664</v>
      </c>
      <c r="N312" s="328">
        <f t="shared" si="176"/>
        <v>1.3707984914324691</v>
      </c>
      <c r="O312" s="328">
        <f t="shared" si="176"/>
        <v>1.3331849153200388</v>
      </c>
      <c r="P312" s="328">
        <f t="shared" si="176"/>
        <v>1.2987878051323458</v>
      </c>
      <c r="Q312" s="328">
        <f t="shared" si="176"/>
        <v>1.2652933542616187</v>
      </c>
      <c r="R312" s="328">
        <f t="shared" si="176"/>
        <v>1.2326922972619223</v>
      </c>
      <c r="S312" s="328">
        <f t="shared" si="176"/>
        <v>1.2009459654392192</v>
      </c>
      <c r="T312" s="328">
        <f t="shared" si="176"/>
        <v>1.1700453544388967</v>
      </c>
      <c r="U312" s="328">
        <f t="shared" si="176"/>
        <v>1.1399541206021471</v>
      </c>
      <c r="V312" s="328">
        <f t="shared" si="176"/>
        <v>1.110663514060104</v>
      </c>
      <c r="W312" s="328">
        <f t="shared" si="176"/>
        <v>1.0821393816424347</v>
      </c>
      <c r="X312" s="328">
        <f t="shared" si="176"/>
        <v>1.0584820719190471</v>
      </c>
      <c r="Y312" s="328">
        <f t="shared" si="176"/>
        <v>1.0313307739801882</v>
      </c>
      <c r="Z312" s="328">
        <f t="shared" si="176"/>
        <v>1.0052994096234997</v>
      </c>
      <c r="AA312" s="328">
        <f t="shared" si="176"/>
        <v>0.97995218124979178</v>
      </c>
      <c r="AB312" s="328">
        <f t="shared" si="176"/>
        <v>0.95526009546465607</v>
      </c>
      <c r="AC312" s="328">
        <f t="shared" si="176"/>
        <v>0.93121612435930468</v>
      </c>
      <c r="AD312" s="456">
        <f t="shared" si="180"/>
        <v>22.85743996551026</v>
      </c>
      <c r="AE312" s="328">
        <f t="shared" ref="AE312:AX312" si="184">AE308*AE$288</f>
        <v>0.89510086819716084</v>
      </c>
      <c r="AF312" s="328">
        <f t="shared" si="184"/>
        <v>0.90053861155907478</v>
      </c>
      <c r="AG312" s="328">
        <f t="shared" si="184"/>
        <v>0.87430933161075219</v>
      </c>
      <c r="AH312" s="328">
        <f t="shared" si="184"/>
        <v>0.84884401127257492</v>
      </c>
      <c r="AI312" s="328">
        <f t="shared" si="184"/>
        <v>0.82412039929376202</v>
      </c>
      <c r="AJ312" s="328">
        <f t="shared" si="184"/>
        <v>0.80011689251821549</v>
      </c>
      <c r="AK312" s="328">
        <f t="shared" si="184"/>
        <v>0.77681251700797627</v>
      </c>
      <c r="AL312" s="328">
        <f t="shared" si="184"/>
        <v>0.75418690971648183</v>
      </c>
      <c r="AM312" s="328">
        <f t="shared" si="184"/>
        <v>0.73222030069561339</v>
      </c>
      <c r="AN312" s="328">
        <f t="shared" si="184"/>
        <v>0.71089349582098393</v>
      </c>
      <c r="AO312" s="328">
        <f t="shared" si="184"/>
        <v>0.69018786002037269</v>
      </c>
      <c r="AP312" s="328">
        <f t="shared" si="184"/>
        <v>0.670085300990653</v>
      </c>
      <c r="AQ312" s="328">
        <f t="shared" si="184"/>
        <v>0.6505682533889835</v>
      </c>
      <c r="AR312" s="328">
        <f t="shared" si="184"/>
        <v>0.63161966348444998</v>
      </c>
      <c r="AS312" s="328">
        <f t="shared" si="184"/>
        <v>0.61322297425674743</v>
      </c>
      <c r="AT312" s="328">
        <f t="shared" si="184"/>
        <v>0.59536211092888103</v>
      </c>
      <c r="AU312" s="328">
        <f t="shared" si="184"/>
        <v>0.57802146692124368</v>
      </c>
      <c r="AV312" s="328">
        <f t="shared" si="184"/>
        <v>0.5611858902147997</v>
      </c>
      <c r="AW312" s="328">
        <f t="shared" si="184"/>
        <v>0.54484067011145598</v>
      </c>
      <c r="AX312" s="328">
        <f t="shared" si="184"/>
        <v>0.52897152438005435</v>
      </c>
      <c r="AY312" s="328">
        <f t="shared" ref="AY312:BG312" si="185">AY308*AY$288</f>
        <v>0.51356458677675176</v>
      </c>
      <c r="AZ312" s="328">
        <f t="shared" si="185"/>
        <v>0.49860639492888514</v>
      </c>
      <c r="BA312" s="328">
        <f t="shared" si="185"/>
        <v>0.48408387857173313</v>
      </c>
      <c r="BB312" s="328">
        <f t="shared" si="185"/>
        <v>0.46998434812789625</v>
      </c>
      <c r="BC312" s="328">
        <f t="shared" si="185"/>
        <v>0.45629548361931671</v>
      </c>
      <c r="BD312" s="328">
        <f t="shared" si="185"/>
        <v>0.44300532390224923</v>
      </c>
      <c r="BE312" s="328">
        <f t="shared" si="185"/>
        <v>0.43010225621577591</v>
      </c>
      <c r="BF312" s="328">
        <f t="shared" si="185"/>
        <v>0.41757500603473385</v>
      </c>
      <c r="BG312" s="328">
        <f t="shared" si="185"/>
        <v>0.40541262721818822</v>
      </c>
      <c r="BH312" s="328">
        <f t="shared" ref="BH312" si="186">BH308*BH$288</f>
        <v>0.39360449244484291</v>
      </c>
      <c r="BI312" s="331" t="s">
        <v>87</v>
      </c>
      <c r="BK312" s="288">
        <f>SUM(AE312:BH312)</f>
        <v>18.693443450230614</v>
      </c>
    </row>
    <row r="313" spans="1:63">
      <c r="A313" s="25"/>
      <c r="B313" s="25"/>
      <c r="C313" s="45"/>
      <c r="D313" s="42"/>
      <c r="E313" s="42"/>
      <c r="F313" s="42"/>
      <c r="AD313" s="456">
        <f>AD310+AD311</f>
        <v>-21.817532277860103</v>
      </c>
    </row>
    <row r="314" spans="1:63">
      <c r="A314" s="25"/>
      <c r="B314" s="25"/>
      <c r="C314" s="45"/>
      <c r="D314" s="42"/>
      <c r="E314" s="42"/>
      <c r="F314" s="328">
        <f>F306*F$290</f>
        <v>-0.96791308411214938</v>
      </c>
      <c r="G314" s="328">
        <f t="shared" ref="G314:AC314" si="187">G306*G$290</f>
        <v>-2.0259542318106383</v>
      </c>
      <c r="H314" s="328">
        <f t="shared" si="187"/>
        <v>-2.8714885926453189</v>
      </c>
      <c r="I314" s="328">
        <f t="shared" si="187"/>
        <v>-5.2553860001450561</v>
      </c>
      <c r="J314" s="328">
        <f t="shared" si="187"/>
        <v>-1.2786572935209595</v>
      </c>
      <c r="K314" s="328">
        <f t="shared" si="187"/>
        <v>0</v>
      </c>
      <c r="L314" s="328">
        <f t="shared" si="187"/>
        <v>0</v>
      </c>
      <c r="M314" s="328">
        <f t="shared" si="187"/>
        <v>0</v>
      </c>
      <c r="N314" s="328">
        <f t="shared" si="187"/>
        <v>0</v>
      </c>
      <c r="O314" s="328">
        <f t="shared" si="187"/>
        <v>0</v>
      </c>
      <c r="P314" s="328">
        <f t="shared" si="187"/>
        <v>0</v>
      </c>
      <c r="Q314" s="328">
        <f t="shared" si="187"/>
        <v>0</v>
      </c>
      <c r="R314" s="328">
        <f t="shared" si="187"/>
        <v>0</v>
      </c>
      <c r="S314" s="328">
        <f t="shared" si="187"/>
        <v>0</v>
      </c>
      <c r="T314" s="328">
        <f t="shared" si="187"/>
        <v>0</v>
      </c>
      <c r="U314" s="328">
        <f t="shared" si="187"/>
        <v>0</v>
      </c>
      <c r="V314" s="328">
        <f t="shared" si="187"/>
        <v>0</v>
      </c>
      <c r="W314" s="328">
        <f t="shared" si="187"/>
        <v>0</v>
      </c>
      <c r="X314" s="328">
        <f t="shared" si="187"/>
        <v>0</v>
      </c>
      <c r="Y314" s="328">
        <f t="shared" si="187"/>
        <v>0</v>
      </c>
      <c r="Z314" s="328">
        <f t="shared" si="187"/>
        <v>0</v>
      </c>
      <c r="AA314" s="328">
        <f t="shared" si="187"/>
        <v>0</v>
      </c>
      <c r="AB314" s="328">
        <f t="shared" si="187"/>
        <v>0</v>
      </c>
      <c r="AC314" s="328">
        <f t="shared" si="187"/>
        <v>0</v>
      </c>
      <c r="AD314" s="456">
        <f t="shared" si="180"/>
        <v>-12.399399202234124</v>
      </c>
      <c r="AE314" s="328">
        <f t="shared" ref="AE314:AX314" si="188">AE306*AE$290</f>
        <v>0</v>
      </c>
      <c r="AF314" s="328">
        <f t="shared" si="188"/>
        <v>0</v>
      </c>
      <c r="AG314" s="328">
        <f t="shared" si="188"/>
        <v>0</v>
      </c>
      <c r="AH314" s="328">
        <f t="shared" si="188"/>
        <v>0</v>
      </c>
      <c r="AI314" s="328">
        <f t="shared" si="188"/>
        <v>0</v>
      </c>
      <c r="AJ314" s="328">
        <f t="shared" si="188"/>
        <v>0</v>
      </c>
      <c r="AK314" s="328">
        <f t="shared" si="188"/>
        <v>0</v>
      </c>
      <c r="AL314" s="328">
        <f t="shared" si="188"/>
        <v>0</v>
      </c>
      <c r="AM314" s="328">
        <f t="shared" si="188"/>
        <v>0</v>
      </c>
      <c r="AN314" s="328">
        <f t="shared" si="188"/>
        <v>0</v>
      </c>
      <c r="AO314" s="328">
        <f t="shared" si="188"/>
        <v>0</v>
      </c>
      <c r="AP314" s="328">
        <f t="shared" si="188"/>
        <v>0</v>
      </c>
      <c r="AQ314" s="328">
        <f t="shared" si="188"/>
        <v>0</v>
      </c>
      <c r="AR314" s="328">
        <f t="shared" si="188"/>
        <v>0</v>
      </c>
      <c r="AS314" s="328">
        <f>AS306*AS$290</f>
        <v>0</v>
      </c>
      <c r="AT314" s="328">
        <f t="shared" si="188"/>
        <v>0</v>
      </c>
      <c r="AU314" s="328">
        <f t="shared" si="188"/>
        <v>0</v>
      </c>
      <c r="AV314" s="328">
        <f t="shared" si="188"/>
        <v>0</v>
      </c>
      <c r="AW314" s="328">
        <f t="shared" si="188"/>
        <v>0</v>
      </c>
      <c r="AX314" s="328">
        <f t="shared" si="188"/>
        <v>0</v>
      </c>
      <c r="AY314" s="328">
        <f>AY306*AY$290</f>
        <v>0</v>
      </c>
      <c r="AZ314" s="328">
        <f t="shared" ref="AZ314:BG314" si="189">AZ306*AZ$290</f>
        <v>0</v>
      </c>
      <c r="BA314" s="328">
        <f t="shared" si="189"/>
        <v>0</v>
      </c>
      <c r="BB314" s="328">
        <f t="shared" si="189"/>
        <v>0</v>
      </c>
      <c r="BC314" s="328">
        <f t="shared" si="189"/>
        <v>0</v>
      </c>
      <c r="BD314" s="328">
        <f t="shared" si="189"/>
        <v>0</v>
      </c>
      <c r="BE314" s="328">
        <f t="shared" si="189"/>
        <v>0</v>
      </c>
      <c r="BF314" s="328">
        <f t="shared" si="189"/>
        <v>0</v>
      </c>
      <c r="BG314" s="328">
        <f t="shared" si="189"/>
        <v>0</v>
      </c>
      <c r="BH314" s="328">
        <f t="shared" ref="BH314" si="190">BH306*BH$290</f>
        <v>0</v>
      </c>
      <c r="BI314" s="333" t="s">
        <v>551</v>
      </c>
      <c r="BK314" s="288">
        <f>SUM(AE314:BH314)</f>
        <v>0</v>
      </c>
    </row>
    <row r="315" spans="1:63">
      <c r="A315" s="25"/>
      <c r="B315" s="25"/>
      <c r="C315" s="52"/>
      <c r="D315" s="42"/>
      <c r="E315" s="42"/>
      <c r="F315" s="328">
        <f t="shared" ref="F315:AC315" si="191">F307*F$290</f>
        <v>0</v>
      </c>
      <c r="G315" s="328">
        <f t="shared" si="191"/>
        <v>0</v>
      </c>
      <c r="H315" s="328">
        <f t="shared" si="191"/>
        <v>-0.27933612075249598</v>
      </c>
      <c r="I315" s="328">
        <f t="shared" si="191"/>
        <v>-0.17404119673052687</v>
      </c>
      <c r="J315" s="328">
        <f t="shared" si="191"/>
        <v>-0.24685567263668734</v>
      </c>
      <c r="K315" s="328">
        <f t="shared" si="191"/>
        <v>-0.35610909581404154</v>
      </c>
      <c r="L315" s="328">
        <f t="shared" si="191"/>
        <v>-0.33701713872701861</v>
      </c>
      <c r="M315" s="328">
        <f t="shared" si="191"/>
        <v>-0.25073608221391386</v>
      </c>
      <c r="N315" s="328">
        <f t="shared" si="191"/>
        <v>-0.29977892488570251</v>
      </c>
      <c r="O315" s="328">
        <f t="shared" si="191"/>
        <v>-0.28180235635247874</v>
      </c>
      <c r="P315" s="328">
        <f t="shared" si="191"/>
        <v>-0.26490955335359306</v>
      </c>
      <c r="Q315" s="328">
        <f t="shared" si="191"/>
        <v>-0.24903482175390496</v>
      </c>
      <c r="R315" s="328">
        <f t="shared" si="191"/>
        <v>-0.2341164713453725</v>
      </c>
      <c r="S315" s="328">
        <f t="shared" si="191"/>
        <v>-0.22009657049626805</v>
      </c>
      <c r="T315" s="328">
        <f t="shared" si="191"/>
        <v>-0.20692071591422592</v>
      </c>
      <c r="U315" s="328">
        <f t="shared" si="191"/>
        <v>-0.19453781658735855</v>
      </c>
      <c r="V315" s="328">
        <f t="shared" si="191"/>
        <v>-0.18289989102589638</v>
      </c>
      <c r="W315" s="328">
        <f t="shared" si="191"/>
        <v>-0.17196187698138507</v>
      </c>
      <c r="X315" s="328">
        <f t="shared" si="191"/>
        <v>-0.16192872038133935</v>
      </c>
      <c r="Y315" s="328">
        <f t="shared" si="191"/>
        <v>-0.15224967880199614</v>
      </c>
      <c r="Z315" s="328">
        <f t="shared" si="191"/>
        <v>-0.14315223739794244</v>
      </c>
      <c r="AA315" s="328">
        <f t="shared" si="191"/>
        <v>-0.13460125944169873</v>
      </c>
      <c r="AB315" s="328">
        <f t="shared" si="191"/>
        <v>-0.12656374256981259</v>
      </c>
      <c r="AC315" s="328">
        <f t="shared" si="191"/>
        <v>-0.11900868842460953</v>
      </c>
      <c r="AD315" s="456">
        <f t="shared" si="180"/>
        <v>-4.7876586325882693</v>
      </c>
      <c r="AE315" s="328">
        <f t="shared" ref="AE315:AX315" si="192">AE307*AE$290</f>
        <v>-0.11380531893255896</v>
      </c>
      <c r="AF315" s="328">
        <f t="shared" si="192"/>
        <v>-0.11314871328799213</v>
      </c>
      <c r="AG315" s="328">
        <f t="shared" si="192"/>
        <v>-0.10985311969707973</v>
      </c>
      <c r="AH315" s="328">
        <f t="shared" si="192"/>
        <v>-0.10665351426900944</v>
      </c>
      <c r="AI315" s="328">
        <f t="shared" si="192"/>
        <v>-0.10354710123204801</v>
      </c>
      <c r="AJ315" s="328">
        <f t="shared" si="192"/>
        <v>-0.1005311662447068</v>
      </c>
      <c r="AK315" s="328">
        <f t="shared" si="192"/>
        <v>-9.7603074023987185E-2</v>
      </c>
      <c r="AL315" s="328">
        <f t="shared" si="192"/>
        <v>-9.4760266042706001E-2</v>
      </c>
      <c r="AM315" s="328">
        <f t="shared" si="192"/>
        <v>-9.2000258293889317E-2</v>
      </c>
      <c r="AN315" s="328">
        <f t="shared" si="192"/>
        <v>-8.9320639120280876E-2</v>
      </c>
      <c r="AO315" s="328">
        <f t="shared" si="192"/>
        <v>-8.6719067107068809E-2</v>
      </c>
      <c r="AP315" s="328">
        <f t="shared" si="192"/>
        <v>-8.4193269035989143E-2</v>
      </c>
      <c r="AQ315" s="328">
        <f t="shared" si="192"/>
        <v>-8.1741037899018598E-2</v>
      </c>
      <c r="AR315" s="328">
        <f t="shared" si="192"/>
        <v>-7.9360230969920967E-2</v>
      </c>
      <c r="AS315" s="328">
        <f t="shared" si="192"/>
        <v>-0.2035896813349764</v>
      </c>
      <c r="AT315" s="328">
        <f t="shared" si="192"/>
        <v>-7.4804629060157363E-2</v>
      </c>
      <c r="AU315" s="328">
        <f t="shared" si="192"/>
        <v>-7.2625853456463468E-2</v>
      </c>
      <c r="AV315" s="328">
        <f t="shared" si="192"/>
        <v>-7.0510537336372289E-2</v>
      </c>
      <c r="AW315" s="328">
        <f t="shared" si="192"/>
        <v>-6.8456832365409989E-2</v>
      </c>
      <c r="AX315" s="328">
        <f t="shared" si="192"/>
        <v>-6.6462944044087369E-2</v>
      </c>
      <c r="AY315" s="328">
        <f t="shared" ref="AY315:BG315" si="193">AY307*AY$290</f>
        <v>-6.4527130139890657E-2</v>
      </c>
      <c r="AZ315" s="328">
        <f t="shared" si="193"/>
        <v>-6.264769916494238E-2</v>
      </c>
      <c r="BA315" s="328">
        <f t="shared" si="193"/>
        <v>-6.0823008898002309E-2</v>
      </c>
      <c r="BB315" s="328">
        <f t="shared" si="193"/>
        <v>-5.9051464949516803E-2</v>
      </c>
      <c r="BC315" s="328">
        <f t="shared" si="193"/>
        <v>-5.7331519368462917E-2</v>
      </c>
      <c r="BD315" s="328">
        <f t="shared" si="193"/>
        <v>-5.566166928976983E-2</v>
      </c>
      <c r="BE315" s="328">
        <f t="shared" si="193"/>
        <v>-5.4040455621135755E-2</v>
      </c>
      <c r="BF315" s="328">
        <f t="shared" si="193"/>
        <v>-5.2466461768092963E-2</v>
      </c>
      <c r="BG315" s="328">
        <f t="shared" si="193"/>
        <v>-5.0938312396206761E-2</v>
      </c>
      <c r="BH315" s="328">
        <f t="shared" ref="BH315" si="194">BH307*BH$290</f>
        <v>-4.9454672229326944E-2</v>
      </c>
      <c r="BI315" s="333" t="s">
        <v>552</v>
      </c>
      <c r="BK315" s="288">
        <f>SUM(AE315:BH315)</f>
        <v>-2.4766296475790703</v>
      </c>
    </row>
    <row r="316" spans="1:63">
      <c r="A316" s="25"/>
      <c r="B316" s="25"/>
      <c r="C316" s="52"/>
      <c r="D316" s="42"/>
      <c r="E316" s="42"/>
      <c r="F316" s="328">
        <f t="shared" ref="F316:AC316" si="195">F308*F$290</f>
        <v>0</v>
      </c>
      <c r="G316" s="328">
        <f t="shared" si="195"/>
        <v>0</v>
      </c>
      <c r="H316" s="328">
        <f t="shared" si="195"/>
        <v>0</v>
      </c>
      <c r="I316" s="328">
        <f t="shared" si="195"/>
        <v>0</v>
      </c>
      <c r="J316" s="328">
        <f t="shared" si="195"/>
        <v>0.94683247425103634</v>
      </c>
      <c r="K316" s="328">
        <f t="shared" si="195"/>
        <v>1.148464790366704</v>
      </c>
      <c r="L316" s="328">
        <f t="shared" si="195"/>
        <v>1.0926383765114067</v>
      </c>
      <c r="M316" s="328">
        <f t="shared" si="195"/>
        <v>0.49827108987725538</v>
      </c>
      <c r="N316" s="328">
        <f t="shared" si="195"/>
        <v>0.97286961819521289</v>
      </c>
      <c r="O316" s="328">
        <f t="shared" si="195"/>
        <v>0.91080385744276438</v>
      </c>
      <c r="P316" s="328">
        <f t="shared" si="195"/>
        <v>0.85413421537020007</v>
      </c>
      <c r="Q316" s="328">
        <f t="shared" si="195"/>
        <v>0.80100013859167363</v>
      </c>
      <c r="R316" s="328">
        <f t="shared" si="195"/>
        <v>0.75118947347232079</v>
      </c>
      <c r="S316" s="328">
        <f t="shared" si="195"/>
        <v>0.7044849599094074</v>
      </c>
      <c r="T316" s="328">
        <f t="shared" si="195"/>
        <v>0.66070014469217409</v>
      </c>
      <c r="U316" s="328">
        <f t="shared" si="195"/>
        <v>0.61964439421641082</v>
      </c>
      <c r="V316" s="328">
        <f t="shared" si="195"/>
        <v>0.58115383042747193</v>
      </c>
      <c r="W316" s="328">
        <f t="shared" si="195"/>
        <v>0.54506117575344304</v>
      </c>
      <c r="X316" s="328">
        <f t="shared" si="195"/>
        <v>0.51321459665487823</v>
      </c>
      <c r="Y316" s="328">
        <f t="shared" si="195"/>
        <v>0.48135658491110667</v>
      </c>
      <c r="Z316" s="328">
        <f t="shared" si="195"/>
        <v>0.45166643208182422</v>
      </c>
      <c r="AA316" s="328">
        <f t="shared" si="195"/>
        <v>0.42381928880041037</v>
      </c>
      <c r="AB316" s="328">
        <f t="shared" si="195"/>
        <v>0.39769572041941209</v>
      </c>
      <c r="AC316" s="328">
        <f t="shared" si="195"/>
        <v>0.3731927651990764</v>
      </c>
      <c r="AD316" s="456">
        <f t="shared" si="180"/>
        <v>13.72819392714419</v>
      </c>
      <c r="AE316" s="328">
        <f t="shared" ref="AE316:AX316" si="196">AE308*AE$290</f>
        <v>0.35871926977684393</v>
      </c>
      <c r="AF316" s="328">
        <f t="shared" si="196"/>
        <v>0.36089849158002285</v>
      </c>
      <c r="AG316" s="328">
        <f t="shared" si="196"/>
        <v>0.35038688502914839</v>
      </c>
      <c r="AH316" s="328">
        <f t="shared" si="196"/>
        <v>0.34018144177587223</v>
      </c>
      <c r="AI316" s="328">
        <f t="shared" si="196"/>
        <v>0.33027324444259443</v>
      </c>
      <c r="AJ316" s="328">
        <f t="shared" si="196"/>
        <v>0.3206536353811596</v>
      </c>
      <c r="AK316" s="328">
        <f t="shared" si="196"/>
        <v>0.31131420910792196</v>
      </c>
      <c r="AL316" s="328">
        <f t="shared" si="196"/>
        <v>0.30224680495914752</v>
      </c>
      <c r="AM316" s="328">
        <f t="shared" si="196"/>
        <v>0.29344349996033736</v>
      </c>
      <c r="AN316" s="328">
        <f t="shared" si="196"/>
        <v>0.28489660190324012</v>
      </c>
      <c r="AO316" s="328">
        <f t="shared" si="196"/>
        <v>0.27659864262450501</v>
      </c>
      <c r="AP316" s="328">
        <f t="shared" si="196"/>
        <v>0.26854237148010196</v>
      </c>
      <c r="AQ316" s="328">
        <f t="shared" si="196"/>
        <v>0.26072074900980774</v>
      </c>
      <c r="AR316" s="328">
        <f t="shared" si="196"/>
        <v>0.25312694078622111</v>
      </c>
      <c r="AS316" s="328">
        <f t="shared" si="196"/>
        <v>0.24575431144293308</v>
      </c>
      <c r="AT316" s="328">
        <f t="shared" si="196"/>
        <v>0.23859641887663405</v>
      </c>
      <c r="AU316" s="328">
        <f t="shared" si="196"/>
        <v>0.23164700861809132</v>
      </c>
      <c r="AV316" s="328">
        <f t="shared" si="196"/>
        <v>0.22490000836707894</v>
      </c>
      <c r="AW316" s="328">
        <f t="shared" si="196"/>
        <v>0.21834952268648442</v>
      </c>
      <c r="AX316" s="328">
        <f t="shared" si="196"/>
        <v>0.21198982785095574</v>
      </c>
      <c r="AY316" s="328">
        <f t="shared" ref="AY316:BG316" si="197">AY308*AY$290</f>
        <v>0.20581536684558807</v>
      </c>
      <c r="AZ316" s="328">
        <f t="shared" si="197"/>
        <v>0.19982074451027967</v>
      </c>
      <c r="BA316" s="328">
        <f t="shared" si="197"/>
        <v>0.19400072282551425</v>
      </c>
      <c r="BB316" s="328">
        <f t="shared" si="197"/>
        <v>0.18835021633545074</v>
      </c>
      <c r="BC316" s="328">
        <f t="shared" si="197"/>
        <v>0.18286428770432112</v>
      </c>
      <c r="BD316" s="328">
        <f t="shared" si="197"/>
        <v>0.17753814340225352</v>
      </c>
      <c r="BE316" s="328">
        <f t="shared" si="197"/>
        <v>0.17236712951675098</v>
      </c>
      <c r="BF316" s="328">
        <f t="shared" si="197"/>
        <v>0.16734672768616599</v>
      </c>
      <c r="BG316" s="328">
        <f t="shared" si="197"/>
        <v>0.16247255115161746</v>
      </c>
      <c r="BH316" s="328">
        <f t="shared" ref="BH316" si="198">BH308*BH$290</f>
        <v>0.15774034092390044</v>
      </c>
      <c r="BI316" s="331" t="s">
        <v>87</v>
      </c>
      <c r="BK316" s="288">
        <f>SUM(AE316:BH316)</f>
        <v>7.491556116560945</v>
      </c>
    </row>
    <row r="317" spans="1:63">
      <c r="A317" s="25"/>
      <c r="B317" s="25"/>
      <c r="C317" s="52"/>
      <c r="D317" s="42"/>
      <c r="E317" s="42"/>
      <c r="F317" s="42"/>
      <c r="AD317" s="457">
        <f>AD314+AD315</f>
        <v>-17.187057834822394</v>
      </c>
    </row>
    <row r="318" spans="1:63">
      <c r="A318" s="25"/>
      <c r="B318" s="25"/>
      <c r="C318" s="52"/>
      <c r="D318" s="42"/>
      <c r="E318" s="42"/>
      <c r="F318" s="42"/>
    </row>
    <row r="319" spans="1:63">
      <c r="A319" s="25"/>
      <c r="B319" s="25"/>
      <c r="C319" s="52"/>
      <c r="D319" s="42"/>
      <c r="E319" s="42"/>
      <c r="F319" s="42"/>
    </row>
    <row r="320" spans="1:63" ht="15.75">
      <c r="A320" s="25"/>
      <c r="B320" s="25"/>
      <c r="C320" s="401" t="s">
        <v>1</v>
      </c>
      <c r="D320" s="418">
        <f>SUM(D321:D324)</f>
        <v>25272.550620649392</v>
      </c>
      <c r="E320" s="42"/>
      <c r="F320" s="42"/>
      <c r="G320" s="42"/>
      <c r="H320" s="42"/>
      <c r="I320" s="42"/>
      <c r="J320" s="42"/>
      <c r="K320" s="42"/>
      <c r="L320" s="42"/>
      <c r="M320" s="42"/>
      <c r="N320" s="42"/>
      <c r="O320" s="42"/>
      <c r="P320" s="42"/>
      <c r="Q320" s="42"/>
      <c r="R320" s="42"/>
      <c r="S320" s="42"/>
      <c r="T320" s="42"/>
      <c r="U320" s="42"/>
      <c r="V320" s="42"/>
      <c r="W320" s="42"/>
      <c r="X320" s="42"/>
      <c r="Y320" s="42"/>
      <c r="Z320" s="42"/>
      <c r="AA320" s="42"/>
      <c r="AB320" s="42"/>
      <c r="AC320" s="42"/>
    </row>
    <row r="321" spans="1:34" ht="15.75">
      <c r="A321" s="25"/>
      <c r="B321" s="25"/>
      <c r="C321" s="403" t="s">
        <v>196</v>
      </c>
      <c r="D321" s="416">
        <f>-SUM(F321:AC321)/1000</f>
        <v>15555.001</v>
      </c>
      <c r="F321" s="43">
        <f>F6</f>
        <v>-1035667</v>
      </c>
      <c r="G321" s="43">
        <f t="shared" ref="G321:AC321" si="199">G6</f>
        <v>-2319515</v>
      </c>
      <c r="H321" s="43">
        <f t="shared" si="199"/>
        <v>-3517697</v>
      </c>
      <c r="I321" s="43">
        <f t="shared" si="199"/>
        <v>-6888739</v>
      </c>
      <c r="J321" s="43">
        <f t="shared" si="199"/>
        <v>-1793383</v>
      </c>
      <c r="K321" s="43">
        <f t="shared" si="199"/>
        <v>0</v>
      </c>
      <c r="L321" s="43">
        <f t="shared" si="199"/>
        <v>0</v>
      </c>
      <c r="M321" s="43">
        <f t="shared" si="199"/>
        <v>0</v>
      </c>
      <c r="N321" s="43">
        <f t="shared" si="199"/>
        <v>0</v>
      </c>
      <c r="O321" s="43">
        <f t="shared" si="199"/>
        <v>0</v>
      </c>
      <c r="P321" s="43">
        <f t="shared" si="199"/>
        <v>0</v>
      </c>
      <c r="Q321" s="43">
        <f t="shared" si="199"/>
        <v>0</v>
      </c>
      <c r="R321" s="43">
        <f t="shared" si="199"/>
        <v>0</v>
      </c>
      <c r="S321" s="43">
        <f t="shared" si="199"/>
        <v>0</v>
      </c>
      <c r="T321" s="43">
        <f t="shared" si="199"/>
        <v>0</v>
      </c>
      <c r="U321" s="43">
        <f t="shared" si="199"/>
        <v>0</v>
      </c>
      <c r="V321" s="43">
        <f t="shared" si="199"/>
        <v>0</v>
      </c>
      <c r="W321" s="43">
        <f t="shared" si="199"/>
        <v>0</v>
      </c>
      <c r="X321" s="43">
        <f t="shared" si="199"/>
        <v>0</v>
      </c>
      <c r="Y321" s="43">
        <f t="shared" si="199"/>
        <v>0</v>
      </c>
      <c r="Z321" s="43">
        <f t="shared" si="199"/>
        <v>0</v>
      </c>
      <c r="AA321" s="43">
        <f t="shared" si="199"/>
        <v>0</v>
      </c>
      <c r="AB321" s="43">
        <f t="shared" si="199"/>
        <v>0</v>
      </c>
      <c r="AC321" s="43">
        <f t="shared" si="199"/>
        <v>0</v>
      </c>
      <c r="AG321" s="94"/>
      <c r="AH321" s="94"/>
    </row>
    <row r="322" spans="1:34" ht="15.75">
      <c r="A322" s="25"/>
      <c r="B322" s="25"/>
      <c r="C322" s="403" t="s">
        <v>197</v>
      </c>
      <c r="D322" s="416">
        <f>-SUM(F322:AC322)/1000</f>
        <v>1778.7</v>
      </c>
      <c r="E322" s="42"/>
      <c r="F322" s="43">
        <f>F5</f>
        <v>0</v>
      </c>
      <c r="G322" s="43">
        <f t="shared" ref="G322:AC322" si="200">G5</f>
        <v>0</v>
      </c>
      <c r="H322" s="43">
        <f t="shared" si="200"/>
        <v>0</v>
      </c>
      <c r="I322" s="43">
        <f t="shared" si="200"/>
        <v>0</v>
      </c>
      <c r="J322" s="43">
        <f t="shared" si="200"/>
        <v>-23100</v>
      </c>
      <c r="K322" s="43">
        <f t="shared" si="200"/>
        <v>-92400</v>
      </c>
      <c r="L322" s="43">
        <f t="shared" si="200"/>
        <v>-92400</v>
      </c>
      <c r="M322" s="43">
        <f t="shared" si="200"/>
        <v>-92400</v>
      </c>
      <c r="N322" s="43">
        <f t="shared" si="200"/>
        <v>-92400</v>
      </c>
      <c r="O322" s="43">
        <f t="shared" si="200"/>
        <v>-92400</v>
      </c>
      <c r="P322" s="43">
        <f t="shared" si="200"/>
        <v>-92400</v>
      </c>
      <c r="Q322" s="43">
        <f t="shared" si="200"/>
        <v>-92400</v>
      </c>
      <c r="R322" s="43">
        <f t="shared" si="200"/>
        <v>-92400</v>
      </c>
      <c r="S322" s="43">
        <f t="shared" si="200"/>
        <v>-92400</v>
      </c>
      <c r="T322" s="43">
        <f t="shared" si="200"/>
        <v>-92400</v>
      </c>
      <c r="U322" s="43">
        <f t="shared" si="200"/>
        <v>-92400</v>
      </c>
      <c r="V322" s="43">
        <f t="shared" si="200"/>
        <v>-92400</v>
      </c>
      <c r="W322" s="43">
        <f t="shared" si="200"/>
        <v>-92400</v>
      </c>
      <c r="X322" s="43">
        <f t="shared" si="200"/>
        <v>-92400</v>
      </c>
      <c r="Y322" s="43">
        <f t="shared" si="200"/>
        <v>-92400</v>
      </c>
      <c r="Z322" s="43">
        <f t="shared" si="200"/>
        <v>-92400</v>
      </c>
      <c r="AA322" s="43">
        <f t="shared" si="200"/>
        <v>-92400</v>
      </c>
      <c r="AB322" s="43">
        <f t="shared" si="200"/>
        <v>-92400</v>
      </c>
      <c r="AC322" s="43">
        <f t="shared" si="200"/>
        <v>-92400</v>
      </c>
      <c r="AG322" s="94"/>
      <c r="AH322" s="94"/>
    </row>
    <row r="323" spans="1:34" ht="15.75">
      <c r="A323" s="25"/>
      <c r="B323" s="25"/>
      <c r="C323" s="404" t="s">
        <v>546</v>
      </c>
      <c r="D323" s="416">
        <f>-SUM(F323:AC323)/1000</f>
        <v>570.33126562500001</v>
      </c>
      <c r="E323" s="42"/>
      <c r="F323" s="43">
        <f>F217</f>
        <v>0</v>
      </c>
      <c r="G323" s="43">
        <f t="shared" ref="G323:AC323" si="201">G217</f>
        <v>0</v>
      </c>
      <c r="H323" s="43">
        <f t="shared" si="201"/>
        <v>-342198.75937500002</v>
      </c>
      <c r="I323" s="43">
        <f t="shared" si="201"/>
        <v>-228132.50625000001</v>
      </c>
      <c r="J323" s="43">
        <f t="shared" si="201"/>
        <v>0</v>
      </c>
      <c r="K323" s="43">
        <f t="shared" si="201"/>
        <v>0</v>
      </c>
      <c r="L323" s="43">
        <f t="shared" si="201"/>
        <v>0</v>
      </c>
      <c r="M323" s="43">
        <f t="shared" si="201"/>
        <v>0</v>
      </c>
      <c r="N323" s="43">
        <f t="shared" si="201"/>
        <v>0</v>
      </c>
      <c r="O323" s="43">
        <f t="shared" si="201"/>
        <v>0</v>
      </c>
      <c r="P323" s="43">
        <f t="shared" si="201"/>
        <v>0</v>
      </c>
      <c r="Q323" s="43">
        <f t="shared" si="201"/>
        <v>0</v>
      </c>
      <c r="R323" s="43">
        <f t="shared" si="201"/>
        <v>0</v>
      </c>
      <c r="S323" s="43">
        <f t="shared" si="201"/>
        <v>0</v>
      </c>
      <c r="T323" s="43">
        <f t="shared" si="201"/>
        <v>0</v>
      </c>
      <c r="U323" s="43">
        <f t="shared" si="201"/>
        <v>0</v>
      </c>
      <c r="V323" s="43">
        <f t="shared" si="201"/>
        <v>0</v>
      </c>
      <c r="W323" s="43">
        <f t="shared" si="201"/>
        <v>0</v>
      </c>
      <c r="X323" s="43">
        <f t="shared" si="201"/>
        <v>0</v>
      </c>
      <c r="Y323" s="43">
        <f t="shared" si="201"/>
        <v>0</v>
      </c>
      <c r="Z323" s="43">
        <f t="shared" si="201"/>
        <v>0</v>
      </c>
      <c r="AA323" s="43">
        <f t="shared" si="201"/>
        <v>0</v>
      </c>
      <c r="AB323" s="43">
        <f t="shared" si="201"/>
        <v>0</v>
      </c>
      <c r="AC323" s="43">
        <f t="shared" si="201"/>
        <v>0</v>
      </c>
      <c r="AG323" s="94"/>
      <c r="AH323" s="94"/>
    </row>
    <row r="324" spans="1:34" ht="15.75">
      <c r="A324" s="25"/>
      <c r="B324" s="25"/>
      <c r="C324" s="403" t="s">
        <v>198</v>
      </c>
      <c r="D324" s="416">
        <f>-SUM(F324:AC324)/1000</f>
        <v>7368.5183550243919</v>
      </c>
      <c r="E324" s="43"/>
      <c r="F324" s="43">
        <f t="shared" ref="F324:AC324" si="202">F251+F253+F265+F267</f>
        <v>0</v>
      </c>
      <c r="G324" s="43">
        <f t="shared" si="202"/>
        <v>0</v>
      </c>
      <c r="H324" s="43">
        <f t="shared" si="202"/>
        <v>0</v>
      </c>
      <c r="I324" s="43">
        <f t="shared" si="202"/>
        <v>0</v>
      </c>
      <c r="J324" s="43">
        <f t="shared" si="202"/>
        <v>-252222.47379884432</v>
      </c>
      <c r="K324" s="43">
        <f t="shared" si="202"/>
        <v>-344726.87360668962</v>
      </c>
      <c r="L324" s="43">
        <f t="shared" si="202"/>
        <v>-349019.05275204114</v>
      </c>
      <c r="M324" s="43">
        <f t="shared" si="202"/>
        <v>-314739.31185050355</v>
      </c>
      <c r="N324" s="43">
        <f t="shared" si="202"/>
        <v>-356507.00667840586</v>
      </c>
      <c r="O324" s="43">
        <f t="shared" si="202"/>
        <v>-359703.39921878616</v>
      </c>
      <c r="P324" s="43">
        <f t="shared" si="202"/>
        <v>-362931.45733596815</v>
      </c>
      <c r="Q324" s="43">
        <f t="shared" si="202"/>
        <v>-366191.49768571986</v>
      </c>
      <c r="R324" s="43">
        <f t="shared" si="202"/>
        <v>-369483.8400903669</v>
      </c>
      <c r="S324" s="43">
        <f t="shared" si="202"/>
        <v>-372808.8075704581</v>
      </c>
      <c r="T324" s="43">
        <f t="shared" si="202"/>
        <v>-376166.72637674806</v>
      </c>
      <c r="U324" s="43">
        <f t="shared" si="202"/>
        <v>-379557.92602249875</v>
      </c>
      <c r="V324" s="43">
        <f t="shared" si="202"/>
        <v>-382982.73931610491</v>
      </c>
      <c r="W324" s="43">
        <f t="shared" si="202"/>
        <v>-386441.50239404477</v>
      </c>
      <c r="X324" s="43">
        <f t="shared" si="202"/>
        <v>-390235.37692102417</v>
      </c>
      <c r="Y324" s="43">
        <f t="shared" si="202"/>
        <v>-393763.28632565739</v>
      </c>
      <c r="Z324" s="43">
        <f t="shared" si="202"/>
        <v>-397326.17422703956</v>
      </c>
      <c r="AA324" s="43">
        <f t="shared" si="202"/>
        <v>-400924.39041013818</v>
      </c>
      <c r="AB324" s="43">
        <f t="shared" si="202"/>
        <v>-404558.28815777035</v>
      </c>
      <c r="AC324" s="43">
        <f t="shared" si="202"/>
        <v>-408228.22428558179</v>
      </c>
    </row>
    <row r="325" spans="1:34" ht="15.75">
      <c r="A325" s="25"/>
      <c r="B325" s="25"/>
      <c r="C325" s="402"/>
      <c r="D325" s="417"/>
      <c r="F325" s="414">
        <f>SUM(F321:F324)</f>
        <v>-1035667</v>
      </c>
      <c r="G325" s="414">
        <f t="shared" ref="G325" si="203">SUM(G321:G324)</f>
        <v>-2319515</v>
      </c>
      <c r="H325" s="414">
        <f t="shared" ref="H325" si="204">SUM(H321:H324)</f>
        <v>-3859895.7593749999</v>
      </c>
      <c r="I325" s="414">
        <f t="shared" ref="I325" si="205">SUM(I321:I324)</f>
        <v>-7116871.5062499996</v>
      </c>
      <c r="J325" s="414">
        <f t="shared" ref="J325" si="206">SUM(J321:J324)</f>
        <v>-2068705.4737988443</v>
      </c>
      <c r="K325" s="414">
        <f t="shared" ref="K325" si="207">SUM(K321:K324)</f>
        <v>-437126.87360668962</v>
      </c>
      <c r="L325" s="414">
        <f t="shared" ref="L325" si="208">SUM(L321:L324)</f>
        <v>-441419.05275204114</v>
      </c>
      <c r="M325" s="414">
        <f t="shared" ref="M325" si="209">SUM(M321:M324)</f>
        <v>-407139.31185050355</v>
      </c>
      <c r="N325" s="414">
        <f t="shared" ref="N325" si="210">SUM(N321:N324)</f>
        <v>-448907.00667840586</v>
      </c>
      <c r="O325" s="414">
        <f t="shared" ref="O325" si="211">SUM(O321:O324)</f>
        <v>-452103.39921878616</v>
      </c>
      <c r="P325" s="414">
        <f t="shared" ref="P325" si="212">SUM(P321:P324)</f>
        <v>-455331.45733596815</v>
      </c>
      <c r="Q325" s="414">
        <f t="shared" ref="Q325" si="213">SUM(Q321:Q324)</f>
        <v>-458591.49768571986</v>
      </c>
      <c r="R325" s="414">
        <f t="shared" ref="R325" si="214">SUM(R321:R324)</f>
        <v>-461883.8400903669</v>
      </c>
      <c r="S325" s="414">
        <f t="shared" ref="S325" si="215">SUM(S321:S324)</f>
        <v>-465208.8075704581</v>
      </c>
      <c r="T325" s="414">
        <f t="shared" ref="T325" si="216">SUM(T321:T324)</f>
        <v>-468566.72637674806</v>
      </c>
      <c r="U325" s="414">
        <f t="shared" ref="U325" si="217">SUM(U321:U324)</f>
        <v>-471957.92602249875</v>
      </c>
      <c r="V325" s="414">
        <f t="shared" ref="V325" si="218">SUM(V321:V324)</f>
        <v>-475382.73931610491</v>
      </c>
      <c r="W325" s="414">
        <f t="shared" ref="W325" si="219">SUM(W321:W324)</f>
        <v>-478841.50239404477</v>
      </c>
      <c r="X325" s="414">
        <f t="shared" ref="X325" si="220">SUM(X321:X324)</f>
        <v>-482635.37692102417</v>
      </c>
      <c r="Y325" s="414">
        <f t="shared" ref="Y325" si="221">SUM(Y321:Y324)</f>
        <v>-486163.28632565739</v>
      </c>
      <c r="Z325" s="414">
        <f t="shared" ref="Z325" si="222">SUM(Z321:Z324)</f>
        <v>-489726.17422703956</v>
      </c>
      <c r="AA325" s="414">
        <f t="shared" ref="AA325" si="223">SUM(AA321:AA324)</f>
        <v>-493324.39041013818</v>
      </c>
      <c r="AB325" s="414">
        <f t="shared" ref="AB325" si="224">SUM(AB321:AB324)</f>
        <v>-496958.28815777035</v>
      </c>
      <c r="AC325" s="414">
        <f>SUM(AC321:AC324)+BK307*1000000</f>
        <v>-19752851.403789304</v>
      </c>
    </row>
    <row r="326" spans="1:34" ht="15.75">
      <c r="A326" s="25"/>
      <c r="B326" s="25"/>
      <c r="C326" s="401" t="s">
        <v>0</v>
      </c>
      <c r="D326" s="418">
        <f>SUM(D327:D333)</f>
        <v>34598.66292804046</v>
      </c>
      <c r="G326" s="25"/>
      <c r="H326" s="25"/>
      <c r="I326" s="25"/>
      <c r="J326" s="25"/>
      <c r="K326" s="25"/>
      <c r="L326" s="25"/>
      <c r="M326" s="25"/>
      <c r="N326" s="25"/>
      <c r="O326" s="25"/>
      <c r="P326" s="25"/>
      <c r="Q326" s="25"/>
      <c r="R326" s="25"/>
      <c r="S326" s="25"/>
      <c r="T326" s="25"/>
      <c r="U326" s="25"/>
      <c r="V326" s="25"/>
      <c r="W326" s="25"/>
      <c r="X326" s="25"/>
      <c r="Y326" s="25"/>
      <c r="Z326" s="25"/>
      <c r="AA326" s="25"/>
      <c r="AB326" s="25"/>
      <c r="AC326" s="25"/>
    </row>
    <row r="327" spans="1:34" ht="15.75">
      <c r="A327" s="25"/>
      <c r="B327" s="25"/>
      <c r="C327" s="403" t="s">
        <v>577</v>
      </c>
      <c r="D327" s="416">
        <f t="shared" ref="D327:D333" si="225">SUM(F327:AC327)/1000</f>
        <v>2485.1139848766798</v>
      </c>
      <c r="F327" s="405">
        <f>F59+F71+F85+F98+F132+F153+F165</f>
        <v>0</v>
      </c>
      <c r="G327" s="405">
        <f t="shared" ref="G327:AC327" si="226">G59+G71+G85+G98+G132+G153+G165</f>
        <v>0</v>
      </c>
      <c r="H327" s="405">
        <f t="shared" si="226"/>
        <v>0</v>
      </c>
      <c r="I327" s="405">
        <f t="shared" si="226"/>
        <v>0</v>
      </c>
      <c r="J327" s="405">
        <f t="shared" si="226"/>
        <v>89436.070843472626</v>
      </c>
      <c r="K327" s="405">
        <f t="shared" si="226"/>
        <v>123696.32168494629</v>
      </c>
      <c r="L327" s="405">
        <f t="shared" si="226"/>
        <v>128440.93035444981</v>
      </c>
      <c r="M327" s="405">
        <f t="shared" si="226"/>
        <v>-16467.379904519712</v>
      </c>
      <c r="N327" s="405">
        <f t="shared" si="226"/>
        <v>133354.38360703114</v>
      </c>
      <c r="O327" s="405">
        <f t="shared" si="226"/>
        <v>133510.58186477883</v>
      </c>
      <c r="P327" s="405">
        <f t="shared" si="226"/>
        <v>133667.50456696385</v>
      </c>
      <c r="Q327" s="405">
        <f t="shared" si="226"/>
        <v>133825.1719214147</v>
      </c>
      <c r="R327" s="405">
        <f t="shared" si="226"/>
        <v>133983.6046632565</v>
      </c>
      <c r="S327" s="405">
        <f t="shared" si="226"/>
        <v>134142.82406788087</v>
      </c>
      <c r="T327" s="405">
        <f t="shared" si="226"/>
        <v>134302.8519642418</v>
      </c>
      <c r="U327" s="405">
        <f t="shared" si="226"/>
        <v>134463.71074848724</v>
      </c>
      <c r="V327" s="405">
        <f t="shared" si="226"/>
        <v>134625.42339793412</v>
      </c>
      <c r="W327" s="405">
        <f t="shared" si="226"/>
        <v>134788.01348539683</v>
      </c>
      <c r="X327" s="405">
        <f t="shared" si="226"/>
        <v>136136.37354363097</v>
      </c>
      <c r="Y327" s="405">
        <f t="shared" si="226"/>
        <v>136303.43910504837</v>
      </c>
      <c r="Z327" s="405">
        <f t="shared" si="226"/>
        <v>136471.47210152412</v>
      </c>
      <c r="AA327" s="405">
        <f t="shared" si="226"/>
        <v>136640.49881026309</v>
      </c>
      <c r="AB327" s="405">
        <f t="shared" si="226"/>
        <v>136810.5461837952</v>
      </c>
      <c r="AC327" s="405">
        <f t="shared" si="226"/>
        <v>136981.6418666837</v>
      </c>
      <c r="AG327" s="94"/>
    </row>
    <row r="328" spans="1:34" ht="15.75">
      <c r="A328" s="25"/>
      <c r="B328" s="25"/>
      <c r="C328" s="403" t="s">
        <v>578</v>
      </c>
      <c r="D328" s="416">
        <f t="shared" si="225"/>
        <v>6378.6030184172823</v>
      </c>
      <c r="F328" s="324">
        <f>F78+F105+F145+F172</f>
        <v>0</v>
      </c>
      <c r="G328" s="324">
        <f t="shared" ref="G328:AC328" si="227">G78+G105+G145+G172</f>
        <v>0</v>
      </c>
      <c r="H328" s="324">
        <f t="shared" si="227"/>
        <v>0</v>
      </c>
      <c r="I328" s="324">
        <f t="shared" si="227"/>
        <v>0</v>
      </c>
      <c r="J328" s="324">
        <f t="shared" si="227"/>
        <v>220834.45609244981</v>
      </c>
      <c r="K328" s="324">
        <f t="shared" si="227"/>
        <v>302332.24929239717</v>
      </c>
      <c r="L328" s="324">
        <f t="shared" si="227"/>
        <v>307315.60436807934</v>
      </c>
      <c r="M328" s="324">
        <f t="shared" si="227"/>
        <v>222769.65259158585</v>
      </c>
      <c r="N328" s="324">
        <f t="shared" si="227"/>
        <v>314589.1553901491</v>
      </c>
      <c r="O328" s="324">
        <f t="shared" si="227"/>
        <v>316879.78470992349</v>
      </c>
      <c r="P328" s="324">
        <f t="shared" si="227"/>
        <v>319192.62821048376</v>
      </c>
      <c r="Q328" s="324">
        <f t="shared" si="227"/>
        <v>321527.90803363762</v>
      </c>
      <c r="R328" s="324">
        <f t="shared" si="227"/>
        <v>323885.84854261094</v>
      </c>
      <c r="S328" s="324">
        <f t="shared" si="227"/>
        <v>326266.67634426209</v>
      </c>
      <c r="T328" s="324">
        <f t="shared" si="227"/>
        <v>328670.62031151779</v>
      </c>
      <c r="U328" s="324">
        <f t="shared" si="227"/>
        <v>331097.91160603397</v>
      </c>
      <c r="V328" s="324">
        <f t="shared" si="227"/>
        <v>333548.78370108339</v>
      </c>
      <c r="W328" s="324">
        <f t="shared" si="227"/>
        <v>336023.47240467125</v>
      </c>
      <c r="X328" s="324">
        <f t="shared" si="227"/>
        <v>339220.0664977961</v>
      </c>
      <c r="Y328" s="324">
        <f t="shared" si="227"/>
        <v>341743.62695318944</v>
      </c>
      <c r="Z328" s="324">
        <f t="shared" si="227"/>
        <v>344291.72568417666</v>
      </c>
      <c r="AA328" s="324">
        <f t="shared" si="227"/>
        <v>346864.60807351361</v>
      </c>
      <c r="AB328" s="324">
        <f t="shared" si="227"/>
        <v>349462.52195778384</v>
      </c>
      <c r="AC328" s="324">
        <f t="shared" si="227"/>
        <v>352085.71765193669</v>
      </c>
    </row>
    <row r="329" spans="1:34" ht="15.75">
      <c r="A329" s="25"/>
      <c r="B329" s="25"/>
      <c r="C329" s="403" t="s">
        <v>199</v>
      </c>
      <c r="D329" s="416">
        <f t="shared" si="225"/>
        <v>5277.6656205794616</v>
      </c>
      <c r="F329" s="236">
        <f>F206</f>
        <v>0</v>
      </c>
      <c r="G329" s="236">
        <f t="shared" ref="G329:AC329" si="228">G206</f>
        <v>0</v>
      </c>
      <c r="H329" s="236">
        <f t="shared" si="228"/>
        <v>0</v>
      </c>
      <c r="I329" s="236">
        <f t="shared" si="228"/>
        <v>0</v>
      </c>
      <c r="J329" s="236">
        <f t="shared" si="228"/>
        <v>177640.09200353522</v>
      </c>
      <c r="K329" s="236">
        <f t="shared" si="228"/>
        <v>242883.96871120349</v>
      </c>
      <c r="L329" s="236">
        <f t="shared" si="228"/>
        <v>245746.87876602967</v>
      </c>
      <c r="M329" s="236">
        <f t="shared" si="228"/>
        <v>241679.89170068919</v>
      </c>
      <c r="N329" s="236">
        <f t="shared" si="228"/>
        <v>251362.68659185476</v>
      </c>
      <c r="O329" s="236">
        <f t="shared" si="228"/>
        <v>254110.0707051027</v>
      </c>
      <c r="P329" s="236">
        <f t="shared" si="228"/>
        <v>256888.05794725759</v>
      </c>
      <c r="Q329" s="236">
        <f t="shared" si="228"/>
        <v>259697.0171457541</v>
      </c>
      <c r="R329" s="236">
        <f t="shared" si="228"/>
        <v>262537.32213259646</v>
      </c>
      <c r="S329" s="236">
        <f t="shared" si="228"/>
        <v>265409.35182445002</v>
      </c>
      <c r="T329" s="236">
        <f t="shared" si="228"/>
        <v>268313.49030429352</v>
      </c>
      <c r="U329" s="236">
        <f t="shared" si="228"/>
        <v>271250.1269046698</v>
      </c>
      <c r="V329" s="236">
        <f t="shared" si="228"/>
        <v>274219.65629257337</v>
      </c>
      <c r="W329" s="236">
        <f t="shared" si="228"/>
        <v>277222.47855601215</v>
      </c>
      <c r="X329" s="236">
        <f t="shared" si="228"/>
        <v>280322.38841348927</v>
      </c>
      <c r="Y329" s="236">
        <f t="shared" si="228"/>
        <v>283393.93107226695</v>
      </c>
      <c r="Z329" s="236">
        <f t="shared" si="228"/>
        <v>286500.0079255203</v>
      </c>
      <c r="AA329" s="236">
        <f t="shared" si="228"/>
        <v>289641.04173017474</v>
      </c>
      <c r="AB329" s="236">
        <f t="shared" si="228"/>
        <v>292817.4611248087</v>
      </c>
      <c r="AC329" s="236">
        <f t="shared" si="228"/>
        <v>296029.70072717947</v>
      </c>
    </row>
    <row r="330" spans="1:34" ht="15.75">
      <c r="A330" s="25"/>
      <c r="B330" s="25"/>
      <c r="C330" s="403" t="s">
        <v>200</v>
      </c>
      <c r="D330" s="416">
        <f t="shared" si="225"/>
        <v>5442.0079335196224</v>
      </c>
      <c r="F330" s="406">
        <f>F219-F217</f>
        <v>0</v>
      </c>
      <c r="G330" s="406">
        <f t="shared" ref="G330:AC330" si="229">G219-G217</f>
        <v>0</v>
      </c>
      <c r="H330" s="406">
        <f t="shared" si="229"/>
        <v>0</v>
      </c>
      <c r="I330" s="406">
        <f t="shared" si="229"/>
        <v>0</v>
      </c>
      <c r="J330" s="406">
        <f t="shared" si="229"/>
        <v>267663.94157013146</v>
      </c>
      <c r="K330" s="406">
        <f t="shared" si="229"/>
        <v>271420.5595231824</v>
      </c>
      <c r="L330" s="406">
        <f t="shared" si="229"/>
        <v>271674.19457281457</v>
      </c>
      <c r="M330" s="406">
        <f t="shared" si="229"/>
        <v>266695.09706158179</v>
      </c>
      <c r="N330" s="406">
        <f t="shared" si="229"/>
        <v>272022.93654930516</v>
      </c>
      <c r="O330" s="406">
        <f t="shared" si="229"/>
        <v>272118.06124479347</v>
      </c>
      <c r="P330" s="406">
        <f t="shared" si="229"/>
        <v>272214.09673814801</v>
      </c>
      <c r="Q330" s="406">
        <f t="shared" si="229"/>
        <v>272311.05213734735</v>
      </c>
      <c r="R330" s="406">
        <f t="shared" si="229"/>
        <v>272408.9366414501</v>
      </c>
      <c r="S330" s="406">
        <f t="shared" si="229"/>
        <v>272507.75954150507</v>
      </c>
      <c r="T330" s="406">
        <f t="shared" si="229"/>
        <v>272607.53022147203</v>
      </c>
      <c r="U330" s="406">
        <f t="shared" si="229"/>
        <v>272708.25815914996</v>
      </c>
      <c r="V330" s="406">
        <f t="shared" si="229"/>
        <v>272809.95292711596</v>
      </c>
      <c r="W330" s="406">
        <f t="shared" si="229"/>
        <v>272912.62419367302</v>
      </c>
      <c r="X330" s="406">
        <f t="shared" si="229"/>
        <v>273057.06616996921</v>
      </c>
      <c r="Y330" s="406">
        <f t="shared" si="229"/>
        <v>273161.75031336001</v>
      </c>
      <c r="Z330" s="406">
        <f t="shared" si="229"/>
        <v>273267.44054422562</v>
      </c>
      <c r="AA330" s="406">
        <f t="shared" si="229"/>
        <v>273374.14692344074</v>
      </c>
      <c r="AB330" s="406">
        <f t="shared" si="229"/>
        <v>273481.8796124889</v>
      </c>
      <c r="AC330" s="406">
        <f t="shared" si="229"/>
        <v>273590.64887446846</v>
      </c>
    </row>
    <row r="331" spans="1:34" ht="15.75">
      <c r="A331" s="25"/>
      <c r="B331" s="25"/>
      <c r="C331" s="403" t="s">
        <v>201</v>
      </c>
      <c r="D331" s="416">
        <f t="shared" si="225"/>
        <v>1372.8134397700128</v>
      </c>
      <c r="F331" s="236">
        <f t="shared" ref="F331:AC331" si="230">F239+F222</f>
        <v>0</v>
      </c>
      <c r="G331" s="236">
        <f t="shared" si="230"/>
        <v>0</v>
      </c>
      <c r="H331" s="236">
        <f t="shared" si="230"/>
        <v>0</v>
      </c>
      <c r="I331" s="236">
        <f t="shared" si="230"/>
        <v>0</v>
      </c>
      <c r="J331" s="236">
        <f t="shared" si="230"/>
        <v>62751.737964047206</v>
      </c>
      <c r="K331" s="236">
        <f t="shared" si="230"/>
        <v>81665.921676654922</v>
      </c>
      <c r="L331" s="236">
        <f t="shared" si="230"/>
        <v>78799.261321112193</v>
      </c>
      <c r="M331" s="236">
        <f t="shared" si="230"/>
        <v>48522.318407837294</v>
      </c>
      <c r="N331" s="236">
        <f t="shared" si="230"/>
        <v>72699.10674530195</v>
      </c>
      <c r="O331" s="236">
        <f t="shared" si="230"/>
        <v>69538.356513553008</v>
      </c>
      <c r="P331" s="236">
        <f t="shared" si="230"/>
        <v>69347.802194810734</v>
      </c>
      <c r="Q331" s="236">
        <f t="shared" si="230"/>
        <v>69140.375785005177</v>
      </c>
      <c r="R331" s="236">
        <f t="shared" si="230"/>
        <v>68937.457687268063</v>
      </c>
      <c r="S331" s="236">
        <f t="shared" si="230"/>
        <v>68717.571183705179</v>
      </c>
      <c r="T331" s="236">
        <f t="shared" si="230"/>
        <v>68501.812171080368</v>
      </c>
      <c r="U331" s="236">
        <f t="shared" si="230"/>
        <v>68268.985450491484</v>
      </c>
      <c r="V331" s="236">
        <f t="shared" si="230"/>
        <v>68039.892667518739</v>
      </c>
      <c r="W331" s="236">
        <f t="shared" si="230"/>
        <v>67793.629821976618</v>
      </c>
      <c r="X331" s="236">
        <f t="shared" si="230"/>
        <v>67716.833088689513</v>
      </c>
      <c r="Y331" s="236">
        <f t="shared" si="230"/>
        <v>67466.127096244716</v>
      </c>
      <c r="Z331" s="236">
        <f t="shared" si="230"/>
        <v>67961.191411505395</v>
      </c>
      <c r="AA331" s="236">
        <f t="shared" si="230"/>
        <v>68471.474196326817</v>
      </c>
      <c r="AB331" s="236">
        <f t="shared" si="230"/>
        <v>68976.531570915176</v>
      </c>
      <c r="AC331" s="236">
        <f t="shared" si="230"/>
        <v>69497.052815968316</v>
      </c>
    </row>
    <row r="332" spans="1:34" ht="15.75">
      <c r="A332" s="36"/>
      <c r="B332" s="36"/>
      <c r="C332" s="403" t="s">
        <v>579</v>
      </c>
      <c r="D332" s="416">
        <f t="shared" si="225"/>
        <v>17.40189473368995</v>
      </c>
      <c r="F332" s="236">
        <f>F244</f>
        <v>0</v>
      </c>
      <c r="G332" s="236">
        <f t="shared" ref="G332:AC332" si="231">G244</f>
        <v>0</v>
      </c>
      <c r="H332" s="236">
        <f t="shared" si="231"/>
        <v>0</v>
      </c>
      <c r="I332" s="236">
        <f t="shared" si="231"/>
        <v>0</v>
      </c>
      <c r="J332" s="236">
        <f t="shared" si="231"/>
        <v>591.87408342369952</v>
      </c>
      <c r="K332" s="236">
        <f t="shared" si="231"/>
        <v>808.181587807847</v>
      </c>
      <c r="L332" s="236">
        <f t="shared" si="231"/>
        <v>816.39444990916354</v>
      </c>
      <c r="M332" s="236">
        <f t="shared" si="231"/>
        <v>818.70025038334256</v>
      </c>
      <c r="N332" s="236">
        <f t="shared" si="231"/>
        <v>832.87728996532553</v>
      </c>
      <c r="O332" s="236">
        <f t="shared" si="231"/>
        <v>841.14888071063797</v>
      </c>
      <c r="P332" s="236">
        <f t="shared" si="231"/>
        <v>849.50314108931684</v>
      </c>
      <c r="Q332" s="236">
        <f t="shared" si="231"/>
        <v>857.94089779769592</v>
      </c>
      <c r="R332" s="236">
        <f t="shared" si="231"/>
        <v>866.46298579907182</v>
      </c>
      <c r="S332" s="236">
        <f t="shared" si="231"/>
        <v>875.07024840637473</v>
      </c>
      <c r="T332" s="236">
        <f t="shared" si="231"/>
        <v>883.76353736566432</v>
      </c>
      <c r="U332" s="236">
        <f t="shared" si="231"/>
        <v>892.54371294045984</v>
      </c>
      <c r="V332" s="236">
        <f t="shared" si="231"/>
        <v>901.41164399691661</v>
      </c>
      <c r="W332" s="236">
        <f t="shared" si="231"/>
        <v>910.36820808985135</v>
      </c>
      <c r="X332" s="236">
        <f t="shared" si="231"/>
        <v>919.46094928801199</v>
      </c>
      <c r="Y332" s="236">
        <f t="shared" si="231"/>
        <v>928.59748218572724</v>
      </c>
      <c r="Z332" s="236">
        <f t="shared" si="231"/>
        <v>937.82533378955884</v>
      </c>
      <c r="AA332" s="236">
        <f t="shared" si="231"/>
        <v>947.14541728656764</v>
      </c>
      <c r="AB332" s="236">
        <f t="shared" si="231"/>
        <v>956.5586549956854</v>
      </c>
      <c r="AC332" s="236">
        <f t="shared" si="231"/>
        <v>966.06597845903377</v>
      </c>
    </row>
    <row r="333" spans="1:34" ht="15.75">
      <c r="A333" s="25"/>
      <c r="B333" s="25"/>
      <c r="C333" s="403" t="s">
        <v>202</v>
      </c>
      <c r="D333" s="416">
        <f t="shared" si="225"/>
        <v>13625.057036143706</v>
      </c>
      <c r="F333" s="324">
        <f>F257+F259+F271+F273+F277+F279+F281</f>
        <v>0</v>
      </c>
      <c r="G333" s="324">
        <f t="shared" ref="G333:AC333" si="232">G257+G259+G271+G273+G277+G279+G281</f>
        <v>0</v>
      </c>
      <c r="H333" s="324">
        <f t="shared" si="232"/>
        <v>0</v>
      </c>
      <c r="I333" s="324">
        <f t="shared" si="232"/>
        <v>0</v>
      </c>
      <c r="J333" s="324">
        <f t="shared" si="232"/>
        <v>488851.64314150816</v>
      </c>
      <c r="K333" s="324">
        <f t="shared" si="232"/>
        <v>672688.1971358601</v>
      </c>
      <c r="L333" s="324">
        <f t="shared" si="232"/>
        <v>692035.4266415427</v>
      </c>
      <c r="M333" s="324">
        <f t="shared" si="232"/>
        <v>134789.85781808378</v>
      </c>
      <c r="N333" s="324">
        <f t="shared" si="232"/>
        <v>713005.58060229255</v>
      </c>
      <c r="O333" s="324">
        <f t="shared" si="232"/>
        <v>714628.73477687605</v>
      </c>
      <c r="P333" s="324">
        <f t="shared" si="232"/>
        <v>716263.66408811859</v>
      </c>
      <c r="Q333" s="324">
        <f t="shared" si="232"/>
        <v>717910.48628738662</v>
      </c>
      <c r="R333" s="324">
        <f t="shared" si="232"/>
        <v>719569.3203035607</v>
      </c>
      <c r="S333" s="324">
        <f t="shared" si="232"/>
        <v>721240.2862548097</v>
      </c>
      <c r="T333" s="324">
        <f t="shared" si="232"/>
        <v>722923.5054604843</v>
      </c>
      <c r="U333" s="324">
        <f t="shared" si="232"/>
        <v>724619.10045312881</v>
      </c>
      <c r="V333" s="324">
        <f t="shared" si="232"/>
        <v>726327.19499061315</v>
      </c>
      <c r="W333" s="324">
        <f t="shared" si="232"/>
        <v>728047.91406838526</v>
      </c>
      <c r="X333" s="324">
        <f t="shared" si="232"/>
        <v>734274.73642237287</v>
      </c>
      <c r="Y333" s="324">
        <f t="shared" si="232"/>
        <v>736024.44343426765</v>
      </c>
      <c r="Z333" s="324">
        <f t="shared" si="232"/>
        <v>737787.15752264601</v>
      </c>
      <c r="AA333" s="324">
        <f t="shared" si="232"/>
        <v>739563.00875827216</v>
      </c>
      <c r="AB333" s="324">
        <f t="shared" si="232"/>
        <v>741352.12851261906</v>
      </c>
      <c r="AC333" s="324">
        <f t="shared" si="232"/>
        <v>743154.64947087388</v>
      </c>
    </row>
    <row r="334" spans="1:34" ht="15.75">
      <c r="A334" s="25"/>
      <c r="B334" s="25"/>
      <c r="C334" s="402"/>
      <c r="D334" s="417"/>
      <c r="F334" s="413">
        <f>SUM(F327:F333)</f>
        <v>0</v>
      </c>
      <c r="G334" s="413">
        <f t="shared" ref="G334" si="233">SUM(G327:G333)</f>
        <v>0</v>
      </c>
      <c r="H334" s="413">
        <f t="shared" ref="H334" si="234">SUM(H327:H333)</f>
        <v>0</v>
      </c>
      <c r="I334" s="413">
        <f t="shared" ref="I334" si="235">SUM(I327:I333)</f>
        <v>0</v>
      </c>
      <c r="J334" s="413">
        <f t="shared" ref="J334" si="236">SUM(J327:J333)</f>
        <v>1307769.8156985682</v>
      </c>
      <c r="K334" s="413">
        <f t="shared" ref="K334" si="237">SUM(K327:K333)</f>
        <v>1695495.3996120524</v>
      </c>
      <c r="L334" s="413">
        <f t="shared" ref="L334" si="238">SUM(L327:L333)</f>
        <v>1724828.6904739374</v>
      </c>
      <c r="M334" s="413">
        <f t="shared" ref="M334" si="239">SUM(M327:M333)</f>
        <v>898808.13792564161</v>
      </c>
      <c r="N334" s="413">
        <f t="shared" ref="N334" si="240">SUM(N327:N333)</f>
        <v>1757866.7267759</v>
      </c>
      <c r="O334" s="413">
        <f t="shared" ref="O334" si="241">SUM(O327:O333)</f>
        <v>1761626.7386957384</v>
      </c>
      <c r="P334" s="413">
        <f t="shared" ref="P334" si="242">SUM(P327:P333)</f>
        <v>1768423.2568868718</v>
      </c>
      <c r="Q334" s="413">
        <f t="shared" ref="Q334" si="243">SUM(Q327:Q333)</f>
        <v>1775269.9522083434</v>
      </c>
      <c r="R334" s="413">
        <f t="shared" ref="R334" si="244">SUM(R327:R333)</f>
        <v>1782188.9529565419</v>
      </c>
      <c r="S334" s="413">
        <f t="shared" ref="S334" si="245">SUM(S327:S333)</f>
        <v>1789159.5394650192</v>
      </c>
      <c r="T334" s="413">
        <f t="shared" ref="T334" si="246">SUM(T327:T333)</f>
        <v>1796203.5739704557</v>
      </c>
      <c r="U334" s="413">
        <f t="shared" ref="U334" si="247">SUM(U327:U333)</f>
        <v>1803300.6370349019</v>
      </c>
      <c r="V334" s="413">
        <f t="shared" ref="V334" si="248">SUM(V327:V333)</f>
        <v>1810472.3156208354</v>
      </c>
      <c r="W334" s="413">
        <f t="shared" ref="W334" si="249">SUM(W327:W333)</f>
        <v>1817698.5007382049</v>
      </c>
      <c r="X334" s="413">
        <f t="shared" ref="X334" si="250">SUM(X327:X333)</f>
        <v>1831646.9250852359</v>
      </c>
      <c r="Y334" s="413">
        <f t="shared" ref="Y334" si="251">SUM(Y327:Y333)</f>
        <v>1839021.9154565632</v>
      </c>
      <c r="Z334" s="413">
        <f t="shared" ref="Z334" si="252">SUM(Z327:Z333)</f>
        <v>1847216.8205233875</v>
      </c>
      <c r="AA334" s="413">
        <f t="shared" ref="AA334" si="253">SUM(AA327:AA333)</f>
        <v>1855501.9239092777</v>
      </c>
      <c r="AB334" s="413">
        <f t="shared" ref="AB334" si="254">SUM(AB327:AB333)</f>
        <v>1863857.6276174064</v>
      </c>
      <c r="AC334" s="413">
        <f>SUM(AC327:AC333)+BK308*1000000</f>
        <v>60067165.387487434</v>
      </c>
    </row>
    <row r="335" spans="1:34" ht="15.75">
      <c r="A335" s="25"/>
      <c r="B335" s="25"/>
      <c r="C335" s="401" t="s">
        <v>182</v>
      </c>
      <c r="D335" s="418"/>
      <c r="G335" s="25"/>
      <c r="H335" s="25"/>
      <c r="I335" s="25"/>
      <c r="J335" s="25"/>
      <c r="K335" s="25"/>
      <c r="L335" s="25"/>
      <c r="M335" s="25"/>
      <c r="N335" s="25"/>
      <c r="O335" s="25"/>
      <c r="P335" s="25"/>
      <c r="Q335" s="25"/>
      <c r="R335" s="25"/>
      <c r="S335" s="25"/>
      <c r="T335" s="25"/>
      <c r="U335" s="25"/>
      <c r="V335" s="25"/>
      <c r="W335" s="25"/>
      <c r="X335" s="25"/>
      <c r="Y335" s="25"/>
      <c r="Z335" s="25"/>
      <c r="AA335" s="25"/>
      <c r="AB335" s="25"/>
      <c r="AC335" s="25"/>
    </row>
    <row r="336" spans="1:34" ht="15.75">
      <c r="A336" s="25"/>
      <c r="B336" s="25"/>
      <c r="C336" s="401" t="s">
        <v>183</v>
      </c>
      <c r="D336" s="419">
        <f>IRR(F336:AC336)</f>
        <v>9.4908070055749943E-2</v>
      </c>
      <c r="F336" s="415">
        <f>F325+F334</f>
        <v>-1035667</v>
      </c>
      <c r="G336" s="415">
        <f t="shared" ref="G336:AC336" si="255">G325+G334</f>
        <v>-2319515</v>
      </c>
      <c r="H336" s="415">
        <f t="shared" si="255"/>
        <v>-3859895.7593749999</v>
      </c>
      <c r="I336" s="415">
        <f t="shared" si="255"/>
        <v>-7116871.5062499996</v>
      </c>
      <c r="J336" s="415">
        <f t="shared" si="255"/>
        <v>-760935.65810027602</v>
      </c>
      <c r="K336" s="415">
        <f t="shared" si="255"/>
        <v>1258368.5260053626</v>
      </c>
      <c r="L336" s="415">
        <f t="shared" si="255"/>
        <v>1283409.6377218962</v>
      </c>
      <c r="M336" s="415">
        <f t="shared" si="255"/>
        <v>491668.82607513806</v>
      </c>
      <c r="N336" s="415">
        <f t="shared" si="255"/>
        <v>1308959.7200974941</v>
      </c>
      <c r="O336" s="415">
        <f t="shared" si="255"/>
        <v>1309523.3394769523</v>
      </c>
      <c r="P336" s="415">
        <f t="shared" si="255"/>
        <v>1313091.7995509035</v>
      </c>
      <c r="Q336" s="415">
        <f t="shared" si="255"/>
        <v>1316678.4545226237</v>
      </c>
      <c r="R336" s="415">
        <f t="shared" si="255"/>
        <v>1320305.1128661749</v>
      </c>
      <c r="S336" s="415">
        <f t="shared" si="255"/>
        <v>1323950.7318945611</v>
      </c>
      <c r="T336" s="415">
        <f t="shared" si="255"/>
        <v>1327636.8475937075</v>
      </c>
      <c r="U336" s="415">
        <f t="shared" si="255"/>
        <v>1331342.711012403</v>
      </c>
      <c r="V336" s="415">
        <f t="shared" si="255"/>
        <v>1335089.5763047305</v>
      </c>
      <c r="W336" s="415">
        <f t="shared" si="255"/>
        <v>1338856.9983441602</v>
      </c>
      <c r="X336" s="415">
        <f t="shared" si="255"/>
        <v>1349011.5481642117</v>
      </c>
      <c r="Y336" s="415">
        <f t="shared" si="255"/>
        <v>1352858.629130906</v>
      </c>
      <c r="Z336" s="415">
        <f t="shared" si="255"/>
        <v>1357490.646296348</v>
      </c>
      <c r="AA336" s="415">
        <f t="shared" si="255"/>
        <v>1362177.5334991394</v>
      </c>
      <c r="AB336" s="415">
        <f t="shared" si="255"/>
        <v>1366899.339459636</v>
      </c>
      <c r="AC336" s="415">
        <f t="shared" si="255"/>
        <v>40314313.98369813</v>
      </c>
    </row>
    <row r="337" spans="1:30" ht="15.75">
      <c r="A337" s="25"/>
      <c r="B337" s="25"/>
      <c r="C337" s="401" t="s">
        <v>184</v>
      </c>
      <c r="D337" s="420">
        <f>SUM(F334:AC334)/-SUM(F325:AC325)</f>
        <v>2.0840874622887635</v>
      </c>
      <c r="F337" s="407">
        <f t="shared" ref="F337:AC337" si="256">F336-F287</f>
        <v>0</v>
      </c>
      <c r="G337" s="407">
        <f t="shared" si="256"/>
        <v>0</v>
      </c>
      <c r="H337" s="407">
        <f t="shared" si="256"/>
        <v>0</v>
      </c>
      <c r="I337" s="407">
        <f t="shared" si="256"/>
        <v>0</v>
      </c>
      <c r="J337" s="407">
        <f t="shared" si="256"/>
        <v>0</v>
      </c>
      <c r="K337" s="407">
        <f t="shared" si="256"/>
        <v>0</v>
      </c>
      <c r="L337" s="407">
        <f t="shared" si="256"/>
        <v>0</v>
      </c>
      <c r="M337" s="407">
        <f t="shared" si="256"/>
        <v>0</v>
      </c>
      <c r="N337" s="407">
        <f t="shared" si="256"/>
        <v>0</v>
      </c>
      <c r="O337" s="407">
        <f t="shared" si="256"/>
        <v>0</v>
      </c>
      <c r="P337" s="407">
        <f t="shared" si="256"/>
        <v>0</v>
      </c>
      <c r="Q337" s="407">
        <f t="shared" si="256"/>
        <v>0</v>
      </c>
      <c r="R337" s="407">
        <f t="shared" si="256"/>
        <v>0</v>
      </c>
      <c r="S337" s="407">
        <f t="shared" si="256"/>
        <v>0</v>
      </c>
      <c r="T337" s="407">
        <f t="shared" si="256"/>
        <v>0</v>
      </c>
      <c r="U337" s="407">
        <f t="shared" si="256"/>
        <v>0</v>
      </c>
      <c r="V337" s="407">
        <f t="shared" si="256"/>
        <v>0</v>
      </c>
      <c r="W337" s="407">
        <f t="shared" si="256"/>
        <v>0</v>
      </c>
      <c r="X337" s="407">
        <f t="shared" si="256"/>
        <v>0</v>
      </c>
      <c r="Y337" s="407">
        <f t="shared" si="256"/>
        <v>0</v>
      </c>
      <c r="Z337" s="407">
        <f t="shared" si="256"/>
        <v>0</v>
      </c>
      <c r="AA337" s="407">
        <f t="shared" si="256"/>
        <v>0</v>
      </c>
      <c r="AB337" s="407">
        <f t="shared" si="256"/>
        <v>0</v>
      </c>
      <c r="AC337" s="42">
        <f t="shared" si="256"/>
        <v>38942636.730598144</v>
      </c>
    </row>
    <row r="338" spans="1:30" ht="18.75" customHeight="1">
      <c r="A338" s="25"/>
      <c r="B338" s="25"/>
      <c r="C338" s="50"/>
      <c r="D338" s="40"/>
      <c r="F338" s="39"/>
    </row>
    <row r="339" spans="1:30">
      <c r="A339" s="25"/>
      <c r="B339" s="25"/>
      <c r="C339" s="50"/>
      <c r="D339" s="25"/>
    </row>
    <row r="340" spans="1:30" ht="14.25">
      <c r="A340" s="25"/>
      <c r="B340" s="25"/>
      <c r="C340" s="412" t="s">
        <v>580</v>
      </c>
      <c r="D340" s="39"/>
      <c r="E340" s="39"/>
    </row>
    <row r="341" spans="1:30" ht="15.75">
      <c r="A341" s="25"/>
      <c r="B341" s="25"/>
      <c r="C341" s="401" t="s">
        <v>1</v>
      </c>
      <c r="D341" s="418">
        <f>SUM(D342:D345)</f>
        <v>20558.433203012559</v>
      </c>
      <c r="E341" s="39"/>
      <c r="F341" s="39"/>
    </row>
    <row r="342" spans="1:30" ht="15.75">
      <c r="A342" s="25"/>
      <c r="B342" s="25"/>
      <c r="C342" s="403" t="s">
        <v>196</v>
      </c>
      <c r="D342" s="416">
        <f>-SUM(F342:AC342)/1000</f>
        <v>14078.601669140484</v>
      </c>
      <c r="E342" s="39"/>
      <c r="F342" s="406">
        <f>F321*F$288</f>
        <v>-1005501.9417475729</v>
      </c>
      <c r="G342" s="406">
        <f t="shared" ref="G342:AC342" si="257">G321*G$288</f>
        <v>-2186365.35017438</v>
      </c>
      <c r="H342" s="406">
        <f t="shared" si="257"/>
        <v>-3219191.0696816309</v>
      </c>
      <c r="I342" s="406">
        <f t="shared" si="257"/>
        <v>-6120555.3779716743</v>
      </c>
      <c r="J342" s="406">
        <f t="shared" si="257"/>
        <v>-1546987.929565225</v>
      </c>
      <c r="K342" s="406">
        <f t="shared" si="257"/>
        <v>0</v>
      </c>
      <c r="L342" s="406">
        <f t="shared" si="257"/>
        <v>0</v>
      </c>
      <c r="M342" s="406">
        <f t="shared" si="257"/>
        <v>0</v>
      </c>
      <c r="N342" s="406">
        <f t="shared" si="257"/>
        <v>0</v>
      </c>
      <c r="O342" s="406">
        <f t="shared" si="257"/>
        <v>0</v>
      </c>
      <c r="P342" s="406">
        <f t="shared" si="257"/>
        <v>0</v>
      </c>
      <c r="Q342" s="406">
        <f t="shared" si="257"/>
        <v>0</v>
      </c>
      <c r="R342" s="406">
        <f t="shared" si="257"/>
        <v>0</v>
      </c>
      <c r="S342" s="406">
        <f t="shared" si="257"/>
        <v>0</v>
      </c>
      <c r="T342" s="406">
        <f t="shared" si="257"/>
        <v>0</v>
      </c>
      <c r="U342" s="406">
        <f t="shared" si="257"/>
        <v>0</v>
      </c>
      <c r="V342" s="406">
        <f t="shared" si="257"/>
        <v>0</v>
      </c>
      <c r="W342" s="406">
        <f t="shared" si="257"/>
        <v>0</v>
      </c>
      <c r="X342" s="406">
        <f t="shared" si="257"/>
        <v>0</v>
      </c>
      <c r="Y342" s="406">
        <f t="shared" si="257"/>
        <v>0</v>
      </c>
      <c r="Z342" s="406">
        <f t="shared" si="257"/>
        <v>0</v>
      </c>
      <c r="AA342" s="406">
        <f t="shared" si="257"/>
        <v>0</v>
      </c>
      <c r="AB342" s="406">
        <f t="shared" si="257"/>
        <v>0</v>
      </c>
      <c r="AC342" s="406">
        <f t="shared" si="257"/>
        <v>0</v>
      </c>
    </row>
    <row r="343" spans="1:30" ht="15.75">
      <c r="A343" s="25"/>
      <c r="B343" s="25"/>
      <c r="C343" s="403" t="s">
        <v>197</v>
      </c>
      <c r="D343" s="416">
        <f>-SUM(F343:AC343)/1000</f>
        <v>1161.6054108968103</v>
      </c>
      <c r="F343" s="406">
        <f t="shared" ref="F343:AC343" si="258">F322*F$288</f>
        <v>0</v>
      </c>
      <c r="G343" s="406">
        <f t="shared" si="258"/>
        <v>0</v>
      </c>
      <c r="H343" s="406">
        <f t="shared" si="258"/>
        <v>0</v>
      </c>
      <c r="I343" s="406">
        <f t="shared" si="258"/>
        <v>0</v>
      </c>
      <c r="J343" s="406">
        <f t="shared" si="258"/>
        <v>-19926.262919274184</v>
      </c>
      <c r="K343" s="406">
        <f t="shared" si="258"/>
        <v>-77383.545317569646</v>
      </c>
      <c r="L343" s="406">
        <f t="shared" si="258"/>
        <v>-75129.655648125874</v>
      </c>
      <c r="M343" s="406">
        <f t="shared" si="258"/>
        <v>-72941.413250607642</v>
      </c>
      <c r="N343" s="406">
        <f t="shared" si="258"/>
        <v>-70816.906068551107</v>
      </c>
      <c r="O343" s="406">
        <f t="shared" si="258"/>
        <v>-68754.277736457385</v>
      </c>
      <c r="P343" s="406">
        <f t="shared" si="258"/>
        <v>-66751.725957725619</v>
      </c>
      <c r="Q343" s="406">
        <f t="shared" si="258"/>
        <v>-64807.500929830698</v>
      </c>
      <c r="R343" s="406">
        <f t="shared" si="258"/>
        <v>-62919.903815369609</v>
      </c>
      <c r="S343" s="406">
        <f t="shared" si="258"/>
        <v>-61087.285257640397</v>
      </c>
      <c r="T343" s="406">
        <f t="shared" si="258"/>
        <v>-59308.043939456693</v>
      </c>
      <c r="U343" s="406">
        <f t="shared" si="258"/>
        <v>-57580.625183938537</v>
      </c>
      <c r="V343" s="406">
        <f t="shared" si="258"/>
        <v>-55903.519596056831</v>
      </c>
      <c r="W343" s="406">
        <f t="shared" si="258"/>
        <v>-54275.261743744493</v>
      </c>
      <c r="X343" s="406">
        <f t="shared" si="258"/>
        <v>-52694.428877421837</v>
      </c>
      <c r="Y343" s="406">
        <f t="shared" si="258"/>
        <v>-51159.639686817318</v>
      </c>
      <c r="Z343" s="406">
        <f t="shared" si="258"/>
        <v>-49669.553093997398</v>
      </c>
      <c r="AA343" s="406">
        <f t="shared" si="258"/>
        <v>-48222.867081550874</v>
      </c>
      <c r="AB343" s="406">
        <f t="shared" si="258"/>
        <v>-46818.317554903755</v>
      </c>
      <c r="AC343" s="406">
        <f t="shared" si="258"/>
        <v>-45454.677237770637</v>
      </c>
    </row>
    <row r="344" spans="1:30" ht="15.75">
      <c r="A344" s="25"/>
      <c r="B344" s="25"/>
      <c r="C344" s="404" t="s">
        <v>546</v>
      </c>
      <c r="D344" s="416">
        <f>-SUM(F344:AC344)/1000</f>
        <v>515.85311749469997</v>
      </c>
      <c r="F344" s="406">
        <f t="shared" ref="F344:AC344" si="259">F323*F$288</f>
        <v>0</v>
      </c>
      <c r="G344" s="406">
        <f t="shared" si="259"/>
        <v>0</v>
      </c>
      <c r="H344" s="406">
        <f t="shared" si="259"/>
        <v>-313160.34048303007</v>
      </c>
      <c r="I344" s="406">
        <f t="shared" si="259"/>
        <v>-202692.77701166991</v>
      </c>
      <c r="J344" s="406">
        <f t="shared" si="259"/>
        <v>0</v>
      </c>
      <c r="K344" s="406">
        <f t="shared" si="259"/>
        <v>0</v>
      </c>
      <c r="L344" s="406">
        <f t="shared" si="259"/>
        <v>0</v>
      </c>
      <c r="M344" s="406">
        <f t="shared" si="259"/>
        <v>0</v>
      </c>
      <c r="N344" s="406">
        <f t="shared" si="259"/>
        <v>0</v>
      </c>
      <c r="O344" s="406">
        <f t="shared" si="259"/>
        <v>0</v>
      </c>
      <c r="P344" s="406">
        <f t="shared" si="259"/>
        <v>0</v>
      </c>
      <c r="Q344" s="406">
        <f t="shared" si="259"/>
        <v>0</v>
      </c>
      <c r="R344" s="406">
        <f t="shared" si="259"/>
        <v>0</v>
      </c>
      <c r="S344" s="406">
        <f t="shared" si="259"/>
        <v>0</v>
      </c>
      <c r="T344" s="406">
        <f t="shared" si="259"/>
        <v>0</v>
      </c>
      <c r="U344" s="406">
        <f t="shared" si="259"/>
        <v>0</v>
      </c>
      <c r="V344" s="406">
        <f t="shared" si="259"/>
        <v>0</v>
      </c>
      <c r="W344" s="406">
        <f t="shared" si="259"/>
        <v>0</v>
      </c>
      <c r="X344" s="406">
        <f t="shared" si="259"/>
        <v>0</v>
      </c>
      <c r="Y344" s="406">
        <f t="shared" si="259"/>
        <v>0</v>
      </c>
      <c r="Z344" s="406">
        <f t="shared" si="259"/>
        <v>0</v>
      </c>
      <c r="AA344" s="406">
        <f t="shared" si="259"/>
        <v>0</v>
      </c>
      <c r="AB344" s="406">
        <f t="shared" si="259"/>
        <v>0</v>
      </c>
      <c r="AC344" s="406">
        <f t="shared" si="259"/>
        <v>0</v>
      </c>
    </row>
    <row r="345" spans="1:30" ht="15.75">
      <c r="A345" s="25"/>
      <c r="B345" s="25"/>
      <c r="C345" s="403" t="s">
        <v>198</v>
      </c>
      <c r="D345" s="416">
        <f>-SUM(F345:AC345)/1000</f>
        <v>4802.3730054805656</v>
      </c>
      <c r="F345" s="406">
        <f t="shared" ref="F345:AC345" si="260">F324*F$288</f>
        <v>0</v>
      </c>
      <c r="G345" s="406">
        <f t="shared" si="260"/>
        <v>0</v>
      </c>
      <c r="H345" s="406">
        <f t="shared" si="260"/>
        <v>0</v>
      </c>
      <c r="I345" s="406">
        <f t="shared" si="260"/>
        <v>0</v>
      </c>
      <c r="J345" s="406">
        <f t="shared" si="260"/>
        <v>-217569.32151798773</v>
      </c>
      <c r="K345" s="406">
        <f t="shared" si="260"/>
        <v>-288703.32950137847</v>
      </c>
      <c r="L345" s="406">
        <f t="shared" si="260"/>
        <v>-283784.42908978276</v>
      </c>
      <c r="M345" s="406">
        <f t="shared" si="260"/>
        <v>-248458.11917640097</v>
      </c>
      <c r="N345" s="406">
        <f t="shared" si="260"/>
        <v>-273232.93511607131</v>
      </c>
      <c r="O345" s="406">
        <f t="shared" si="260"/>
        <v>-267653.11052636616</v>
      </c>
      <c r="P345" s="406">
        <f t="shared" si="260"/>
        <v>-262189.40672649926</v>
      </c>
      <c r="Q345" s="406">
        <f t="shared" si="260"/>
        <v>-256839.34877449553</v>
      </c>
      <c r="R345" s="406">
        <f t="shared" si="260"/>
        <v>-251600.51601536028</v>
      </c>
      <c r="S345" s="406">
        <f t="shared" si="260"/>
        <v>-246470.54085083702</v>
      </c>
      <c r="T345" s="406">
        <f t="shared" si="260"/>
        <v>-241447.10753802766</v>
      </c>
      <c r="U345" s="406">
        <f t="shared" si="260"/>
        <v>-236527.95101617501</v>
      </c>
      <c r="V345" s="406">
        <f t="shared" si="260"/>
        <v>-231710.8557609242</v>
      </c>
      <c r="W345" s="406">
        <f t="shared" si="260"/>
        <v>-226993.65466539658</v>
      </c>
      <c r="X345" s="406">
        <f t="shared" si="260"/>
        <v>-222545.7826257447</v>
      </c>
      <c r="Y345" s="406">
        <f t="shared" si="260"/>
        <v>-218017.18452724797</v>
      </c>
      <c r="Z345" s="406">
        <f t="shared" si="260"/>
        <v>-213582.39725546323</v>
      </c>
      <c r="AA345" s="406">
        <f t="shared" si="260"/>
        <v>-209239.43277597296</v>
      </c>
      <c r="AB345" s="406">
        <f t="shared" si="260"/>
        <v>-204986.34636838475</v>
      </c>
      <c r="AC345" s="406">
        <f t="shared" si="260"/>
        <v>-200821.23565204936</v>
      </c>
    </row>
    <row r="346" spans="1:30" ht="15.75">
      <c r="A346" s="25"/>
      <c r="B346" s="25"/>
      <c r="C346" s="402"/>
      <c r="D346" s="417"/>
      <c r="F346" s="414">
        <f>SUM(F342:F345)</f>
        <v>-1005501.9417475729</v>
      </c>
      <c r="G346" s="414">
        <f t="shared" ref="G346:AB346" si="261">SUM(G342:G345)</f>
        <v>-2186365.35017438</v>
      </c>
      <c r="H346" s="414">
        <f t="shared" si="261"/>
        <v>-3532351.4101646608</v>
      </c>
      <c r="I346" s="414">
        <f t="shared" si="261"/>
        <v>-6323248.1549833445</v>
      </c>
      <c r="J346" s="414">
        <f t="shared" si="261"/>
        <v>-1784483.5140024868</v>
      </c>
      <c r="K346" s="414">
        <f t="shared" si="261"/>
        <v>-366086.8748189481</v>
      </c>
      <c r="L346" s="414">
        <f t="shared" si="261"/>
        <v>-358914.08473790862</v>
      </c>
      <c r="M346" s="414">
        <f t="shared" si="261"/>
        <v>-321399.53242700861</v>
      </c>
      <c r="N346" s="414">
        <f t="shared" si="261"/>
        <v>-344049.84118462243</v>
      </c>
      <c r="O346" s="414">
        <f t="shared" si="261"/>
        <v>-336407.38826282357</v>
      </c>
      <c r="P346" s="414">
        <f t="shared" si="261"/>
        <v>-328941.13268422487</v>
      </c>
      <c r="Q346" s="414">
        <f t="shared" si="261"/>
        <v>-321646.84970432625</v>
      </c>
      <c r="R346" s="414">
        <f t="shared" si="261"/>
        <v>-314520.41983072989</v>
      </c>
      <c r="S346" s="414">
        <f t="shared" si="261"/>
        <v>-307557.82610847743</v>
      </c>
      <c r="T346" s="414">
        <f t="shared" si="261"/>
        <v>-300755.15147748438</v>
      </c>
      <c r="U346" s="414">
        <f t="shared" si="261"/>
        <v>-294108.57620011352</v>
      </c>
      <c r="V346" s="414">
        <f t="shared" si="261"/>
        <v>-287614.37535698101</v>
      </c>
      <c r="W346" s="414">
        <f t="shared" si="261"/>
        <v>-281268.91640914109</v>
      </c>
      <c r="X346" s="414">
        <f t="shared" si="261"/>
        <v>-275240.21150316653</v>
      </c>
      <c r="Y346" s="414">
        <f t="shared" si="261"/>
        <v>-269176.82421406527</v>
      </c>
      <c r="Z346" s="414">
        <f t="shared" si="261"/>
        <v>-263251.95034946065</v>
      </c>
      <c r="AA346" s="414">
        <f t="shared" si="261"/>
        <v>-257462.29985752385</v>
      </c>
      <c r="AB346" s="414">
        <f t="shared" si="261"/>
        <v>-251804.66392328852</v>
      </c>
      <c r="AC346" s="459">
        <f>SUM(AC342:AC345)+BK311*1000000</f>
        <v>-6426131.6790155871</v>
      </c>
      <c r="AD346" s="461">
        <f>SUM(F346:AC346)</f>
        <v>-26738288.969138324</v>
      </c>
    </row>
    <row r="347" spans="1:30" ht="15.75">
      <c r="A347" s="25"/>
      <c r="B347" s="25"/>
      <c r="C347" s="401" t="s">
        <v>0</v>
      </c>
      <c r="D347" s="418">
        <f>SUM(D348:D354)</f>
        <v>22566.52654529189</v>
      </c>
      <c r="F347" s="406"/>
      <c r="G347" s="406"/>
      <c r="H347" s="406"/>
      <c r="I347" s="406"/>
      <c r="J347" s="406"/>
      <c r="K347" s="406"/>
      <c r="L347" s="406"/>
      <c r="M347" s="406"/>
      <c r="N347" s="406"/>
      <c r="O347" s="406"/>
      <c r="P347" s="406"/>
      <c r="Q347" s="406"/>
      <c r="R347" s="406"/>
      <c r="S347" s="406"/>
      <c r="T347" s="406"/>
      <c r="U347" s="406"/>
      <c r="V347" s="406"/>
      <c r="W347" s="406"/>
      <c r="X347" s="406"/>
      <c r="Y347" s="406"/>
      <c r="Z347" s="406"/>
      <c r="AA347" s="406"/>
      <c r="AB347" s="406"/>
      <c r="AC347" s="406"/>
    </row>
    <row r="348" spans="1:30" ht="15.75">
      <c r="A348" s="25"/>
      <c r="B348" s="25"/>
      <c r="C348" s="403" t="s">
        <v>577</v>
      </c>
      <c r="D348" s="416">
        <f t="shared" ref="D348:D353" si="262">SUM(F348:AC348)/1000</f>
        <v>1609.1779063021922</v>
      </c>
      <c r="F348" s="406">
        <f t="shared" ref="F348:AC348" si="263">F327*F$288</f>
        <v>0</v>
      </c>
      <c r="G348" s="406">
        <f t="shared" si="263"/>
        <v>0</v>
      </c>
      <c r="H348" s="406">
        <f t="shared" si="263"/>
        <v>0</v>
      </c>
      <c r="I348" s="406">
        <f t="shared" si="263"/>
        <v>0</v>
      </c>
      <c r="J348" s="406">
        <f t="shared" si="263"/>
        <v>77148.340350383878</v>
      </c>
      <c r="K348" s="406">
        <f t="shared" si="263"/>
        <v>103593.72202081942</v>
      </c>
      <c r="L348" s="406">
        <f t="shared" si="263"/>
        <v>104434.23018024601</v>
      </c>
      <c r="M348" s="406">
        <f t="shared" si="263"/>
        <v>-12999.501761583595</v>
      </c>
      <c r="N348" s="406">
        <f t="shared" si="263"/>
        <v>102205.03092779931</v>
      </c>
      <c r="O348" s="406">
        <f t="shared" si="263"/>
        <v>99344.411539902969</v>
      </c>
      <c r="P348" s="406">
        <f t="shared" si="263"/>
        <v>96564.249289036889</v>
      </c>
      <c r="Q348" s="406">
        <f t="shared" si="263"/>
        <v>93862.283049045844</v>
      </c>
      <c r="R348" s="406">
        <f t="shared" si="263"/>
        <v>91236.315132560674</v>
      </c>
      <c r="S348" s="406">
        <f t="shared" si="263"/>
        <v>88684.209514070433</v>
      </c>
      <c r="T348" s="406">
        <f t="shared" si="263"/>
        <v>86203.890102701291</v>
      </c>
      <c r="U348" s="406">
        <f t="shared" si="263"/>
        <v>83793.339063313542</v>
      </c>
      <c r="V348" s="406">
        <f t="shared" si="263"/>
        <v>81450.595184565565</v>
      </c>
      <c r="W348" s="406">
        <f t="shared" si="263"/>
        <v>79173.752292632853</v>
      </c>
      <c r="X348" s="406">
        <f t="shared" si="263"/>
        <v>77636.671572781313</v>
      </c>
      <c r="Y348" s="406">
        <f t="shared" si="263"/>
        <v>75467.909444678793</v>
      </c>
      <c r="Z348" s="406">
        <f t="shared" si="263"/>
        <v>73360.141010418156</v>
      </c>
      <c r="AA348" s="406">
        <f t="shared" si="263"/>
        <v>71311.651645932114</v>
      </c>
      <c r="AB348" s="406">
        <f t="shared" si="263"/>
        <v>69320.774849488633</v>
      </c>
      <c r="AC348" s="406">
        <f t="shared" si="263"/>
        <v>67385.890893398231</v>
      </c>
    </row>
    <row r="349" spans="1:30" ht="15.75">
      <c r="A349" s="25"/>
      <c r="B349" s="25"/>
      <c r="C349" s="403" t="s">
        <v>578</v>
      </c>
      <c r="D349" s="416">
        <f t="shared" si="262"/>
        <v>4154.1864069837548</v>
      </c>
      <c r="F349" s="406">
        <f t="shared" ref="F349:AC349" si="264">F328*F$288</f>
        <v>0</v>
      </c>
      <c r="G349" s="406">
        <f t="shared" si="264"/>
        <v>0</v>
      </c>
      <c r="H349" s="406">
        <f t="shared" si="264"/>
        <v>0</v>
      </c>
      <c r="I349" s="406">
        <f t="shared" si="264"/>
        <v>0</v>
      </c>
      <c r="J349" s="406">
        <f t="shared" si="264"/>
        <v>190493.74172004615</v>
      </c>
      <c r="K349" s="406">
        <f t="shared" si="264"/>
        <v>253198.4990701405</v>
      </c>
      <c r="L349" s="406">
        <f t="shared" si="264"/>
        <v>249875.70921503773</v>
      </c>
      <c r="M349" s="406">
        <f t="shared" si="264"/>
        <v>175856.42088070521</v>
      </c>
      <c r="N349" s="406">
        <f t="shared" si="264"/>
        <v>241106.39250485951</v>
      </c>
      <c r="O349" s="406">
        <f t="shared" si="264"/>
        <v>235788.31955643833</v>
      </c>
      <c r="P349" s="406">
        <f t="shared" si="264"/>
        <v>230591.54595273171</v>
      </c>
      <c r="Q349" s="406">
        <f t="shared" si="264"/>
        <v>225513.20561532996</v>
      </c>
      <c r="R349" s="406">
        <f t="shared" si="264"/>
        <v>220550.50256991829</v>
      </c>
      <c r="S349" s="406">
        <f t="shared" si="264"/>
        <v>215700.70917645207</v>
      </c>
      <c r="T349" s="406">
        <f t="shared" si="264"/>
        <v>210961.16440523791</v>
      </c>
      <c r="U349" s="406">
        <f t="shared" si="264"/>
        <v>206329.27215770405</v>
      </c>
      <c r="V349" s="406">
        <f t="shared" si="264"/>
        <v>201802.49963067571</v>
      </c>
      <c r="W349" s="406">
        <f t="shared" si="264"/>
        <v>197378.37572300257</v>
      </c>
      <c r="X349" s="406">
        <f t="shared" si="264"/>
        <v>193452.46393790501</v>
      </c>
      <c r="Y349" s="406">
        <f t="shared" si="264"/>
        <v>189215.16039168055</v>
      </c>
      <c r="Z349" s="406">
        <f t="shared" si="264"/>
        <v>185073.76784301084</v>
      </c>
      <c r="AA349" s="406">
        <f t="shared" si="264"/>
        <v>181026.03777514378</v>
      </c>
      <c r="AB349" s="406">
        <f t="shared" si="264"/>
        <v>177069.77626143995</v>
      </c>
      <c r="AC349" s="406">
        <f t="shared" si="264"/>
        <v>173202.84259629465</v>
      </c>
    </row>
    <row r="350" spans="1:30" ht="15.75">
      <c r="A350" s="25"/>
      <c r="B350" s="25"/>
      <c r="C350" s="403" t="s">
        <v>199</v>
      </c>
      <c r="D350" s="416">
        <f t="shared" si="262"/>
        <v>3436.8819792709492</v>
      </c>
      <c r="F350" s="406">
        <f t="shared" ref="F350:AC350" si="265">F329*F$288</f>
        <v>0</v>
      </c>
      <c r="G350" s="406">
        <f t="shared" si="265"/>
        <v>0</v>
      </c>
      <c r="H350" s="406">
        <f t="shared" si="265"/>
        <v>0</v>
      </c>
      <c r="I350" s="406">
        <f t="shared" si="265"/>
        <v>0</v>
      </c>
      <c r="J350" s="406">
        <f t="shared" si="265"/>
        <v>153233.90382106055</v>
      </c>
      <c r="K350" s="406">
        <f t="shared" si="265"/>
        <v>203411.49999647817</v>
      </c>
      <c r="L350" s="406">
        <f t="shared" si="265"/>
        <v>199814.70106378294</v>
      </c>
      <c r="M350" s="406">
        <f t="shared" si="265"/>
        <v>190784.33825651591</v>
      </c>
      <c r="N350" s="406">
        <f t="shared" si="265"/>
        <v>192648.56889084447</v>
      </c>
      <c r="O350" s="406">
        <f t="shared" si="265"/>
        <v>189081.75732564344</v>
      </c>
      <c r="P350" s="406">
        <f t="shared" si="265"/>
        <v>185581.3987652346</v>
      </c>
      <c r="Q350" s="406">
        <f t="shared" si="265"/>
        <v>182146.26277216146</v>
      </c>
      <c r="R350" s="406">
        <f t="shared" si="265"/>
        <v>178775.14130441207</v>
      </c>
      <c r="S350" s="406">
        <f t="shared" si="265"/>
        <v>175466.84832192227</v>
      </c>
      <c r="T350" s="406">
        <f t="shared" si="265"/>
        <v>172220.2193995241</v>
      </c>
      <c r="U350" s="406">
        <f t="shared" si="265"/>
        <v>169034.11134625057</v>
      </c>
      <c r="V350" s="406">
        <f t="shared" si="265"/>
        <v>165907.40183090742</v>
      </c>
      <c r="W350" s="406">
        <f t="shared" si="265"/>
        <v>162838.98901382202</v>
      </c>
      <c r="X350" s="406">
        <f t="shared" si="265"/>
        <v>159863.94111475791</v>
      </c>
      <c r="Y350" s="406">
        <f t="shared" si="265"/>
        <v>156908.34851826754</v>
      </c>
      <c r="Z350" s="406">
        <f t="shared" si="265"/>
        <v>154007.87180830419</v>
      </c>
      <c r="AA350" s="406">
        <f t="shared" si="265"/>
        <v>151161.48762679813</v>
      </c>
      <c r="AB350" s="406">
        <f t="shared" si="265"/>
        <v>148368.19134807336</v>
      </c>
      <c r="AC350" s="406">
        <f t="shared" si="265"/>
        <v>145626.99674618809</v>
      </c>
    </row>
    <row r="351" spans="1:30" ht="15.75">
      <c r="A351" s="25"/>
      <c r="B351" s="25"/>
      <c r="C351" s="403" t="s">
        <v>200</v>
      </c>
      <c r="D351" s="416">
        <f t="shared" si="262"/>
        <v>3593.8661652043838</v>
      </c>
      <c r="F351" s="406">
        <f t="shared" ref="F351:AC351" si="266">F330*F$288</f>
        <v>0</v>
      </c>
      <c r="G351" s="406">
        <f t="shared" si="266"/>
        <v>0</v>
      </c>
      <c r="H351" s="406">
        <f t="shared" si="266"/>
        <v>0</v>
      </c>
      <c r="I351" s="406">
        <f t="shared" si="266"/>
        <v>0</v>
      </c>
      <c r="J351" s="406">
        <f t="shared" si="266"/>
        <v>230889.26726128496</v>
      </c>
      <c r="K351" s="406">
        <f t="shared" si="266"/>
        <v>227310.44554093393</v>
      </c>
      <c r="L351" s="406">
        <f t="shared" si="266"/>
        <v>220895.9814581981</v>
      </c>
      <c r="M351" s="406">
        <f t="shared" si="266"/>
        <v>210531.57236666398</v>
      </c>
      <c r="N351" s="406">
        <f t="shared" si="266"/>
        <v>208482.93015263617</v>
      </c>
      <c r="O351" s="406">
        <f t="shared" si="266"/>
        <v>202481.39350574513</v>
      </c>
      <c r="P351" s="406">
        <f t="shared" si="266"/>
        <v>196653.2552737518</v>
      </c>
      <c r="Q351" s="406">
        <f t="shared" si="266"/>
        <v>190993.49312331507</v>
      </c>
      <c r="R351" s="406">
        <f t="shared" si="266"/>
        <v>185497.23043211206</v>
      </c>
      <c r="S351" s="406">
        <f t="shared" si="266"/>
        <v>180159.73205662766</v>
      </c>
      <c r="T351" s="406">
        <f t="shared" si="266"/>
        <v>174976.40022296354</v>
      </c>
      <c r="U351" s="406">
        <f t="shared" si="266"/>
        <v>169942.77053708618</v>
      </c>
      <c r="V351" s="406">
        <f t="shared" si="266"/>
        <v>165054.50811104293</v>
      </c>
      <c r="W351" s="406">
        <f t="shared" si="266"/>
        <v>160307.40380177248</v>
      </c>
      <c r="X351" s="406">
        <f t="shared" si="266"/>
        <v>155720.62935899253</v>
      </c>
      <c r="Y351" s="406">
        <f t="shared" si="266"/>
        <v>151243.03811960883</v>
      </c>
      <c r="Z351" s="406">
        <f t="shared" si="266"/>
        <v>146894.71479407133</v>
      </c>
      <c r="AA351" s="406">
        <f t="shared" si="266"/>
        <v>142671.91721451777</v>
      </c>
      <c r="AB351" s="406">
        <f t="shared" si="266"/>
        <v>138571.01174469118</v>
      </c>
      <c r="AC351" s="406">
        <f t="shared" si="266"/>
        <v>134588.47012836798</v>
      </c>
    </row>
    <row r="352" spans="1:30" ht="15.75">
      <c r="C352" s="403" t="s">
        <v>201</v>
      </c>
      <c r="D352" s="416">
        <f t="shared" si="262"/>
        <v>908.20133369632117</v>
      </c>
      <c r="F352" s="406">
        <f t="shared" ref="F352:AC352" si="267">F331*F$288</f>
        <v>0</v>
      </c>
      <c r="G352" s="406">
        <f t="shared" si="267"/>
        <v>0</v>
      </c>
      <c r="H352" s="406">
        <f t="shared" si="267"/>
        <v>0</v>
      </c>
      <c r="I352" s="406">
        <f t="shared" si="267"/>
        <v>0</v>
      </c>
      <c r="J352" s="406">
        <f t="shared" si="267"/>
        <v>54130.20040316035</v>
      </c>
      <c r="K352" s="406">
        <f t="shared" si="267"/>
        <v>68393.923711758878</v>
      </c>
      <c r="L352" s="406">
        <f t="shared" si="267"/>
        <v>64071.010480322977</v>
      </c>
      <c r="M352" s="406">
        <f t="shared" si="267"/>
        <v>38303.966221467817</v>
      </c>
      <c r="N352" s="406">
        <f t="shared" si="267"/>
        <v>55717.811836034831</v>
      </c>
      <c r="O352" s="406">
        <f t="shared" si="267"/>
        <v>51743.067933653831</v>
      </c>
      <c r="P352" s="406">
        <f t="shared" si="267"/>
        <v>50098.327790893607</v>
      </c>
      <c r="Q352" s="406">
        <f t="shared" si="267"/>
        <v>48493.668484584057</v>
      </c>
      <c r="R352" s="406">
        <f t="shared" si="267"/>
        <v>46943.054187868169</v>
      </c>
      <c r="S352" s="406">
        <f t="shared" si="267"/>
        <v>45430.409882155931</v>
      </c>
      <c r="T352" s="406">
        <f t="shared" si="267"/>
        <v>43968.706560333805</v>
      </c>
      <c r="U352" s="406">
        <f t="shared" si="267"/>
        <v>42542.974706845278</v>
      </c>
      <c r="V352" s="406">
        <f t="shared" si="267"/>
        <v>41165.254037361876</v>
      </c>
      <c r="W352" s="406">
        <f t="shared" si="267"/>
        <v>39821.612588163451</v>
      </c>
      <c r="X352" s="406">
        <f t="shared" si="267"/>
        <v>38617.963690435012</v>
      </c>
      <c r="Y352" s="406">
        <f t="shared" si="267"/>
        <v>37354.3588020444</v>
      </c>
      <c r="Z352" s="406">
        <f t="shared" si="267"/>
        <v>36532.489233171938</v>
      </c>
      <c r="AA352" s="406">
        <f t="shared" si="267"/>
        <v>35734.748907438407</v>
      </c>
      <c r="AB352" s="406">
        <f t="shared" si="267"/>
        <v>34949.839382283018</v>
      </c>
      <c r="AC352" s="406">
        <f t="shared" si="267"/>
        <v>34187.944856343493</v>
      </c>
    </row>
    <row r="353" spans="3:30" ht="15.75">
      <c r="C353" s="403" t="s">
        <v>579</v>
      </c>
      <c r="D353" s="416">
        <f t="shared" si="262"/>
        <v>11.346124261627105</v>
      </c>
      <c r="F353" s="406">
        <f t="shared" ref="F353:AC353" si="268">F332*F$288</f>
        <v>0</v>
      </c>
      <c r="G353" s="406">
        <f t="shared" si="268"/>
        <v>0</v>
      </c>
      <c r="H353" s="406">
        <f t="shared" si="268"/>
        <v>0</v>
      </c>
      <c r="I353" s="406">
        <f t="shared" si="268"/>
        <v>0</v>
      </c>
      <c r="J353" s="406">
        <f t="shared" si="268"/>
        <v>510.55578361060867</v>
      </c>
      <c r="K353" s="406">
        <f t="shared" si="268"/>
        <v>676.83935633067017</v>
      </c>
      <c r="L353" s="406">
        <f t="shared" si="268"/>
        <v>663.8033971289675</v>
      </c>
      <c r="M353" s="406">
        <f t="shared" si="268"/>
        <v>646.28953778774178</v>
      </c>
      <c r="N353" s="406">
        <f t="shared" si="268"/>
        <v>638.33109101844013</v>
      </c>
      <c r="O353" s="406">
        <f t="shared" si="268"/>
        <v>625.89376365897692</v>
      </c>
      <c r="P353" s="406">
        <f t="shared" si="268"/>
        <v>613.69914366040257</v>
      </c>
      <c r="Q353" s="406">
        <f t="shared" si="268"/>
        <v>601.74248410999962</v>
      </c>
      <c r="R353" s="406">
        <f t="shared" si="268"/>
        <v>590.01913123436759</v>
      </c>
      <c r="S353" s="406">
        <f t="shared" si="268"/>
        <v>578.5245225635764</v>
      </c>
      <c r="T353" s="406">
        <f t="shared" si="268"/>
        <v>567.2541851317369</v>
      </c>
      <c r="U353" s="406">
        <f t="shared" si="268"/>
        <v>556.20373371326241</v>
      </c>
      <c r="V353" s="406">
        <f t="shared" si="268"/>
        <v>545.36886909410634</v>
      </c>
      <c r="W353" s="406">
        <f t="shared" si="268"/>
        <v>534.74537637727633</v>
      </c>
      <c r="X353" s="406">
        <f t="shared" si="268"/>
        <v>524.35573157818089</v>
      </c>
      <c r="Y353" s="406">
        <f t="shared" si="268"/>
        <v>514.14191128471396</v>
      </c>
      <c r="Z353" s="406">
        <f t="shared" si="268"/>
        <v>504.12732910775247</v>
      </c>
      <c r="AA353" s="406">
        <f t="shared" si="268"/>
        <v>494.30809052716654</v>
      </c>
      <c r="AB353" s="406">
        <f t="shared" si="268"/>
        <v>484.68037737532057</v>
      </c>
      <c r="AC353" s="406">
        <f t="shared" si="268"/>
        <v>475.24044633383613</v>
      </c>
    </row>
    <row r="354" spans="3:30" ht="15.75">
      <c r="C354" s="403" t="s">
        <v>202</v>
      </c>
      <c r="D354" s="416">
        <f>SUM(F354:AC354)/1000</f>
        <v>8852.8666295726653</v>
      </c>
      <c r="F354" s="406">
        <f t="shared" ref="F354:AC354" si="269">F333*F$288</f>
        <v>0</v>
      </c>
      <c r="G354" s="406">
        <f t="shared" si="269"/>
        <v>0</v>
      </c>
      <c r="H354" s="406">
        <f t="shared" si="269"/>
        <v>0</v>
      </c>
      <c r="I354" s="406">
        <f t="shared" si="269"/>
        <v>0</v>
      </c>
      <c r="J354" s="406">
        <f t="shared" si="269"/>
        <v>421687.72163449746</v>
      </c>
      <c r="K354" s="406">
        <f t="shared" si="269"/>
        <v>563365.77475819329</v>
      </c>
      <c r="L354" s="406">
        <f t="shared" si="269"/>
        <v>562688.13095111446</v>
      </c>
      <c r="M354" s="406">
        <f t="shared" si="269"/>
        <v>106404.35845345775</v>
      </c>
      <c r="N354" s="406">
        <f t="shared" si="269"/>
        <v>546459.40722797939</v>
      </c>
      <c r="O354" s="406">
        <f t="shared" si="269"/>
        <v>531750.89295781904</v>
      </c>
      <c r="P354" s="406">
        <f t="shared" si="269"/>
        <v>517444.11059184553</v>
      </c>
      <c r="Q354" s="406">
        <f t="shared" si="269"/>
        <v>503527.97086152615</v>
      </c>
      <c r="R354" s="406">
        <f t="shared" si="269"/>
        <v>489991.69287868968</v>
      </c>
      <c r="S354" s="406">
        <f t="shared" si="269"/>
        <v>476824.79551677249</v>
      </c>
      <c r="T354" s="406">
        <f t="shared" si="269"/>
        <v>464017.08903372794</v>
      </c>
      <c r="U354" s="406">
        <f t="shared" si="269"/>
        <v>451558.66692980862</v>
      </c>
      <c r="V354" s="406">
        <f t="shared" si="269"/>
        <v>439439.89803362265</v>
      </c>
      <c r="W354" s="406">
        <f t="shared" si="269"/>
        <v>427651.41881005204</v>
      </c>
      <c r="X354" s="406">
        <f t="shared" si="269"/>
        <v>418746.62202268821</v>
      </c>
      <c r="Y354" s="406">
        <f t="shared" si="269"/>
        <v>407518.88881804532</v>
      </c>
      <c r="Z354" s="406">
        <f t="shared" si="269"/>
        <v>396596.95230130397</v>
      </c>
      <c r="AA354" s="406">
        <f t="shared" si="269"/>
        <v>385972.38820110395</v>
      </c>
      <c r="AB354" s="406">
        <f t="shared" si="269"/>
        <v>375637.00619813439</v>
      </c>
      <c r="AC354" s="406">
        <f t="shared" si="269"/>
        <v>365582.84339228511</v>
      </c>
    </row>
    <row r="355" spans="3:30" ht="15.75">
      <c r="C355" s="402"/>
      <c r="D355" s="417"/>
      <c r="F355" s="413">
        <f>SUM(F348:F354)</f>
        <v>0</v>
      </c>
      <c r="G355" s="413">
        <f t="shared" ref="G355:AB355" si="270">SUM(G348:G354)</f>
        <v>0</v>
      </c>
      <c r="H355" s="413">
        <f t="shared" si="270"/>
        <v>0</v>
      </c>
      <c r="I355" s="413">
        <f t="shared" si="270"/>
        <v>0</v>
      </c>
      <c r="J355" s="413">
        <f t="shared" si="270"/>
        <v>1128093.730974044</v>
      </c>
      <c r="K355" s="413">
        <f t="shared" si="270"/>
        <v>1419950.7044546548</v>
      </c>
      <c r="L355" s="413">
        <f t="shared" si="270"/>
        <v>1402443.5667458312</v>
      </c>
      <c r="M355" s="413">
        <f t="shared" si="270"/>
        <v>709527.44395501481</v>
      </c>
      <c r="N355" s="413">
        <f t="shared" si="270"/>
        <v>1347258.4726311723</v>
      </c>
      <c r="O355" s="413">
        <f t="shared" si="270"/>
        <v>1310815.7365828617</v>
      </c>
      <c r="P355" s="413">
        <f t="shared" si="270"/>
        <v>1277546.5868071546</v>
      </c>
      <c r="Q355" s="413">
        <f t="shared" si="270"/>
        <v>1245138.6263900725</v>
      </c>
      <c r="R355" s="413">
        <f t="shared" si="270"/>
        <v>1213583.9556367954</v>
      </c>
      <c r="S355" s="413">
        <f t="shared" si="270"/>
        <v>1182845.2289905644</v>
      </c>
      <c r="T355" s="413">
        <f t="shared" si="270"/>
        <v>1152914.7239096204</v>
      </c>
      <c r="U355" s="413">
        <f t="shared" si="270"/>
        <v>1123757.3384747214</v>
      </c>
      <c r="V355" s="413">
        <f t="shared" si="270"/>
        <v>1095365.5256972702</v>
      </c>
      <c r="W355" s="413">
        <f t="shared" si="270"/>
        <v>1067706.2976058228</v>
      </c>
      <c r="X355" s="413">
        <f t="shared" si="270"/>
        <v>1044562.6474291382</v>
      </c>
      <c r="Y355" s="413">
        <f t="shared" si="270"/>
        <v>1018221.8460056102</v>
      </c>
      <c r="Z355" s="413">
        <f t="shared" si="270"/>
        <v>992970.06431938813</v>
      </c>
      <c r="AA355" s="413">
        <f t="shared" si="270"/>
        <v>968372.53946146136</v>
      </c>
      <c r="AB355" s="413">
        <f t="shared" si="270"/>
        <v>944401.28016148589</v>
      </c>
      <c r="AC355" s="460">
        <f>SUM(AC348:AC354)+BK312*1000000</f>
        <v>19614493.679289825</v>
      </c>
      <c r="AD355" s="461">
        <f>SUM(F355:AC355)</f>
        <v>41259969.995522507</v>
      </c>
    </row>
    <row r="356" spans="3:30" ht="15.75">
      <c r="C356" s="401" t="s">
        <v>182</v>
      </c>
      <c r="D356" s="418">
        <f>NPV(0.03,F336:AC336)/1000</f>
        <v>21165.290132074668</v>
      </c>
    </row>
    <row r="357" spans="3:30" ht="15.75">
      <c r="C357" s="401" t="s">
        <v>183</v>
      </c>
      <c r="D357" s="419">
        <f>IRR(F357:AC357)</f>
        <v>5.1262262354807228E-2</v>
      </c>
      <c r="F357" s="406">
        <f>F346+F355</f>
        <v>-1005501.9417475729</v>
      </c>
      <c r="G357" s="406">
        <f t="shared" ref="G357:AC357" si="271">G346+G355</f>
        <v>-2186365.35017438</v>
      </c>
      <c r="H357" s="406">
        <f t="shared" si="271"/>
        <v>-3532351.4101646608</v>
      </c>
      <c r="I357" s="406">
        <f t="shared" si="271"/>
        <v>-6323248.1549833445</v>
      </c>
      <c r="J357" s="406">
        <f t="shared" si="271"/>
        <v>-656389.78302844288</v>
      </c>
      <c r="K357" s="406">
        <f t="shared" si="271"/>
        <v>1053863.8296357067</v>
      </c>
      <c r="L357" s="406">
        <f t="shared" si="271"/>
        <v>1043529.4820079226</v>
      </c>
      <c r="M357" s="406">
        <f t="shared" si="271"/>
        <v>388127.9115280062</v>
      </c>
      <c r="N357" s="406">
        <f t="shared" si="271"/>
        <v>1003208.6314465499</v>
      </c>
      <c r="O357" s="406">
        <f t="shared" si="271"/>
        <v>974408.34832003817</v>
      </c>
      <c r="P357" s="406">
        <f t="shared" si="271"/>
        <v>948605.45412292972</v>
      </c>
      <c r="Q357" s="406">
        <f t="shared" si="271"/>
        <v>923491.77668574627</v>
      </c>
      <c r="R357" s="406">
        <f t="shared" si="271"/>
        <v>899063.53580606543</v>
      </c>
      <c r="S357" s="406">
        <f t="shared" si="271"/>
        <v>875287.40288208693</v>
      </c>
      <c r="T357" s="406">
        <f t="shared" si="271"/>
        <v>852159.57243213605</v>
      </c>
      <c r="U357" s="406">
        <f t="shared" si="271"/>
        <v>829648.7622746079</v>
      </c>
      <c r="V357" s="406">
        <f t="shared" si="271"/>
        <v>807751.15034028911</v>
      </c>
      <c r="W357" s="406">
        <f t="shared" si="271"/>
        <v>786437.38119668164</v>
      </c>
      <c r="X357" s="406">
        <f t="shared" si="271"/>
        <v>769322.43592597172</v>
      </c>
      <c r="Y357" s="406">
        <f t="shared" si="271"/>
        <v>749045.02179154498</v>
      </c>
      <c r="Z357" s="406">
        <f t="shared" si="271"/>
        <v>729718.11396992742</v>
      </c>
      <c r="AA357" s="406">
        <f t="shared" si="271"/>
        <v>710910.23960393749</v>
      </c>
      <c r="AB357" s="406">
        <f t="shared" si="271"/>
        <v>692596.61623819731</v>
      </c>
      <c r="AC357" s="406">
        <f t="shared" si="271"/>
        <v>13188362.000274237</v>
      </c>
    </row>
    <row r="358" spans="3:30" ht="15.75">
      <c r="C358" s="401" t="s">
        <v>184</v>
      </c>
      <c r="D358" s="420">
        <f>SUM(F355:AC355)/-SUM(F346:AC346)</f>
        <v>1.5431043490907475</v>
      </c>
    </row>
    <row r="361" spans="3:30" ht="14.25">
      <c r="C361" s="412" t="s">
        <v>597</v>
      </c>
      <c r="D361" s="39"/>
      <c r="E361" s="39"/>
    </row>
    <row r="362" spans="3:30" ht="15.75">
      <c r="C362" s="401" t="s">
        <v>1</v>
      </c>
      <c r="D362" s="418">
        <f>SUM(D363:D366)</f>
        <v>16432.339539218636</v>
      </c>
      <c r="E362" s="39"/>
      <c r="F362" s="39"/>
    </row>
    <row r="363" spans="3:30" ht="15.75">
      <c r="C363" s="403" t="s">
        <v>196</v>
      </c>
      <c r="D363" s="416">
        <f>-SUM(F363:AC363)/1000</f>
        <v>12399.399202234121</v>
      </c>
      <c r="E363" s="39"/>
      <c r="F363" s="406">
        <f>F321*F$290</f>
        <v>-967913.08411214955</v>
      </c>
      <c r="G363" s="406">
        <f t="shared" ref="G363:AC363" si="272">G321*G$290</f>
        <v>-2025954.2318106382</v>
      </c>
      <c r="H363" s="406">
        <f t="shared" si="272"/>
        <v>-2871488.5926453192</v>
      </c>
      <c r="I363" s="406">
        <f t="shared" si="272"/>
        <v>-5255386.0001450563</v>
      </c>
      <c r="J363" s="406">
        <f t="shared" si="272"/>
        <v>-1278657.2935209596</v>
      </c>
      <c r="K363" s="406">
        <f t="shared" si="272"/>
        <v>0</v>
      </c>
      <c r="L363" s="406">
        <f t="shared" si="272"/>
        <v>0</v>
      </c>
      <c r="M363" s="406">
        <f t="shared" si="272"/>
        <v>0</v>
      </c>
      <c r="N363" s="406">
        <f t="shared" si="272"/>
        <v>0</v>
      </c>
      <c r="O363" s="406">
        <f t="shared" si="272"/>
        <v>0</v>
      </c>
      <c r="P363" s="406">
        <f t="shared" si="272"/>
        <v>0</v>
      </c>
      <c r="Q363" s="406">
        <f t="shared" si="272"/>
        <v>0</v>
      </c>
      <c r="R363" s="406">
        <f t="shared" si="272"/>
        <v>0</v>
      </c>
      <c r="S363" s="406">
        <f t="shared" si="272"/>
        <v>0</v>
      </c>
      <c r="T363" s="406">
        <f t="shared" si="272"/>
        <v>0</v>
      </c>
      <c r="U363" s="406">
        <f t="shared" si="272"/>
        <v>0</v>
      </c>
      <c r="V363" s="406">
        <f t="shared" si="272"/>
        <v>0</v>
      </c>
      <c r="W363" s="406">
        <f t="shared" si="272"/>
        <v>0</v>
      </c>
      <c r="X363" s="406">
        <f t="shared" si="272"/>
        <v>0</v>
      </c>
      <c r="Y363" s="406">
        <f t="shared" si="272"/>
        <v>0</v>
      </c>
      <c r="Z363" s="406">
        <f t="shared" si="272"/>
        <v>0</v>
      </c>
      <c r="AA363" s="406">
        <f t="shared" si="272"/>
        <v>0</v>
      </c>
      <c r="AB363" s="406">
        <f t="shared" si="272"/>
        <v>0</v>
      </c>
      <c r="AC363" s="406">
        <f t="shared" si="272"/>
        <v>0</v>
      </c>
    </row>
    <row r="364" spans="3:30" ht="15.75">
      <c r="C364" s="403" t="s">
        <v>197</v>
      </c>
      <c r="D364" s="416">
        <f>-SUM(F364:AC364)/1000</f>
        <v>697.37819933210312</v>
      </c>
      <c r="F364" s="406">
        <f t="shared" ref="F364:AC364" si="273">F322*F$290</f>
        <v>0</v>
      </c>
      <c r="G364" s="406">
        <f t="shared" si="273"/>
        <v>0</v>
      </c>
      <c r="H364" s="406">
        <f t="shared" si="273"/>
        <v>0</v>
      </c>
      <c r="I364" s="406">
        <f t="shared" si="273"/>
        <v>0</v>
      </c>
      <c r="J364" s="406">
        <f t="shared" si="273"/>
        <v>-16469.980746072739</v>
      </c>
      <c r="K364" s="406">
        <f t="shared" si="273"/>
        <v>-61570.021480645737</v>
      </c>
      <c r="L364" s="406">
        <f t="shared" si="273"/>
        <v>-57542.076150136199</v>
      </c>
      <c r="M364" s="406">
        <f t="shared" si="273"/>
        <v>-53777.641261809527</v>
      </c>
      <c r="N364" s="406">
        <f t="shared" si="273"/>
        <v>-50259.477814775259</v>
      </c>
      <c r="O364" s="406">
        <f t="shared" si="273"/>
        <v>-46971.474593247905</v>
      </c>
      <c r="P364" s="406">
        <f t="shared" si="273"/>
        <v>-43898.574386212989</v>
      </c>
      <c r="Q364" s="406">
        <f t="shared" si="273"/>
        <v>-41026.705033843915</v>
      </c>
      <c r="R364" s="406">
        <f t="shared" si="273"/>
        <v>-38342.714984900857</v>
      </c>
      <c r="S364" s="406">
        <f t="shared" si="273"/>
        <v>-35834.313070000797</v>
      </c>
      <c r="T364" s="406">
        <f t="shared" si="273"/>
        <v>-33490.012214954011</v>
      </c>
      <c r="U364" s="406">
        <f t="shared" si="273"/>
        <v>-31299.076836405617</v>
      </c>
      <c r="V364" s="406">
        <f t="shared" si="273"/>
        <v>-29251.473678883754</v>
      </c>
      <c r="W364" s="406">
        <f t="shared" si="273"/>
        <v>-27337.825868115659</v>
      </c>
      <c r="X364" s="406">
        <f t="shared" si="273"/>
        <v>-25549.369970201547</v>
      </c>
      <c r="Y364" s="406">
        <f t="shared" si="273"/>
        <v>-23877.915860001449</v>
      </c>
      <c r="Z364" s="406">
        <f t="shared" si="273"/>
        <v>-22315.809214954621</v>
      </c>
      <c r="AA364" s="406">
        <f t="shared" si="273"/>
        <v>-20855.896462574412</v>
      </c>
      <c r="AB364" s="406">
        <f t="shared" si="273"/>
        <v>-19491.49202109758</v>
      </c>
      <c r="AC364" s="406">
        <f t="shared" si="273"/>
        <v>-18216.347683268767</v>
      </c>
    </row>
    <row r="365" spans="3:30" ht="15.75">
      <c r="C365" s="404" t="s">
        <v>546</v>
      </c>
      <c r="D365" s="416">
        <f>-SUM(F365:AC365)/1000</f>
        <v>453.37731748302309</v>
      </c>
      <c r="F365" s="406">
        <f t="shared" ref="F365:AC365" si="274">F323*F$290</f>
        <v>0</v>
      </c>
      <c r="G365" s="406">
        <f t="shared" si="274"/>
        <v>0</v>
      </c>
      <c r="H365" s="406">
        <f t="shared" si="274"/>
        <v>-279336.120752496</v>
      </c>
      <c r="I365" s="406">
        <f t="shared" si="274"/>
        <v>-174041.1967305271</v>
      </c>
      <c r="J365" s="406">
        <f t="shared" si="274"/>
        <v>0</v>
      </c>
      <c r="K365" s="406">
        <f t="shared" si="274"/>
        <v>0</v>
      </c>
      <c r="L365" s="406">
        <f t="shared" si="274"/>
        <v>0</v>
      </c>
      <c r="M365" s="406">
        <f t="shared" si="274"/>
        <v>0</v>
      </c>
      <c r="N365" s="406">
        <f t="shared" si="274"/>
        <v>0</v>
      </c>
      <c r="O365" s="406">
        <f t="shared" si="274"/>
        <v>0</v>
      </c>
      <c r="P365" s="406">
        <f t="shared" si="274"/>
        <v>0</v>
      </c>
      <c r="Q365" s="406">
        <f t="shared" si="274"/>
        <v>0</v>
      </c>
      <c r="R365" s="406">
        <f t="shared" si="274"/>
        <v>0</v>
      </c>
      <c r="S365" s="406">
        <f t="shared" si="274"/>
        <v>0</v>
      </c>
      <c r="T365" s="406">
        <f t="shared" si="274"/>
        <v>0</v>
      </c>
      <c r="U365" s="406">
        <f t="shared" si="274"/>
        <v>0</v>
      </c>
      <c r="V365" s="406">
        <f t="shared" si="274"/>
        <v>0</v>
      </c>
      <c r="W365" s="406">
        <f t="shared" si="274"/>
        <v>0</v>
      </c>
      <c r="X365" s="406">
        <f t="shared" si="274"/>
        <v>0</v>
      </c>
      <c r="Y365" s="406">
        <f t="shared" si="274"/>
        <v>0</v>
      </c>
      <c r="Z365" s="406">
        <f t="shared" si="274"/>
        <v>0</v>
      </c>
      <c r="AA365" s="406">
        <f t="shared" si="274"/>
        <v>0</v>
      </c>
      <c r="AB365" s="406">
        <f t="shared" si="274"/>
        <v>0</v>
      </c>
      <c r="AC365" s="406">
        <f t="shared" si="274"/>
        <v>0</v>
      </c>
    </row>
    <row r="366" spans="3:30" ht="15.75">
      <c r="C366" s="403" t="s">
        <v>198</v>
      </c>
      <c r="D366" s="416">
        <f>-SUM(F366:AC366)/1000</f>
        <v>2882.1848201693902</v>
      </c>
      <c r="F366" s="406">
        <f t="shared" ref="F366:AC366" si="275">F324*F$290</f>
        <v>0</v>
      </c>
      <c r="G366" s="406">
        <f t="shared" si="275"/>
        <v>0</v>
      </c>
      <c r="H366" s="406">
        <f t="shared" si="275"/>
        <v>0</v>
      </c>
      <c r="I366" s="406">
        <f t="shared" si="275"/>
        <v>0</v>
      </c>
      <c r="J366" s="406">
        <f t="shared" si="275"/>
        <v>-179831.13797375764</v>
      </c>
      <c r="K366" s="406">
        <f t="shared" si="275"/>
        <v>-229706.07156839533</v>
      </c>
      <c r="L366" s="406">
        <f t="shared" si="275"/>
        <v>-217351.52501413802</v>
      </c>
      <c r="M366" s="406">
        <f t="shared" si="275"/>
        <v>-183181.14506152787</v>
      </c>
      <c r="N366" s="406">
        <f t="shared" si="275"/>
        <v>-193916.19040005709</v>
      </c>
      <c r="O366" s="406">
        <f t="shared" si="275"/>
        <v>-182854.96837132168</v>
      </c>
      <c r="P366" s="406">
        <f t="shared" si="275"/>
        <v>-172426.12096276716</v>
      </c>
      <c r="Q366" s="406">
        <f t="shared" si="275"/>
        <v>-162593.40434473555</v>
      </c>
      <c r="R366" s="406">
        <f t="shared" si="275"/>
        <v>-153322.65770683571</v>
      </c>
      <c r="S366" s="406">
        <f t="shared" si="275"/>
        <v>-144581.68317893374</v>
      </c>
      <c r="T366" s="406">
        <f t="shared" si="275"/>
        <v>-136340.13269714889</v>
      </c>
      <c r="U366" s="406">
        <f t="shared" si="275"/>
        <v>-128569.40141174186</v>
      </c>
      <c r="V366" s="406">
        <f t="shared" si="275"/>
        <v>-121242.52725727101</v>
      </c>
      <c r="W366" s="406">
        <f t="shared" si="275"/>
        <v>-114334.09632750429</v>
      </c>
      <c r="X366" s="406">
        <f t="shared" si="275"/>
        <v>-107903.33355428894</v>
      </c>
      <c r="Y366" s="406">
        <f t="shared" si="275"/>
        <v>-101755.91579698816</v>
      </c>
      <c r="Z366" s="406">
        <f t="shared" si="275"/>
        <v>-95959.470780935444</v>
      </c>
      <c r="AA366" s="406">
        <f t="shared" si="275"/>
        <v>-90493.913157084447</v>
      </c>
      <c r="AB366" s="406">
        <f t="shared" si="275"/>
        <v>-85340.310018355813</v>
      </c>
      <c r="AC366" s="406">
        <f t="shared" si="275"/>
        <v>-80480.814585601518</v>
      </c>
    </row>
    <row r="367" spans="3:30" ht="15.75">
      <c r="C367" s="402"/>
      <c r="D367" s="417"/>
      <c r="F367" s="414">
        <f>SUM(F363:F366)</f>
        <v>-967913.08411214955</v>
      </c>
      <c r="G367" s="414">
        <f t="shared" ref="G367:AB367" si="276">SUM(G363:G366)</f>
        <v>-2025954.2318106382</v>
      </c>
      <c r="H367" s="414">
        <f t="shared" si="276"/>
        <v>-3150824.7133978154</v>
      </c>
      <c r="I367" s="414">
        <f t="shared" si="276"/>
        <v>-5429427.1968755834</v>
      </c>
      <c r="J367" s="414">
        <f t="shared" si="276"/>
        <v>-1474958.41224079</v>
      </c>
      <c r="K367" s="414">
        <f t="shared" si="276"/>
        <v>-291276.09304904105</v>
      </c>
      <c r="L367" s="414">
        <f t="shared" si="276"/>
        <v>-274893.60116427421</v>
      </c>
      <c r="M367" s="414">
        <f t="shared" si="276"/>
        <v>-236958.78632333741</v>
      </c>
      <c r="N367" s="414">
        <f t="shared" si="276"/>
        <v>-244175.66821483235</v>
      </c>
      <c r="O367" s="414">
        <f t="shared" si="276"/>
        <v>-229826.44296456958</v>
      </c>
      <c r="P367" s="414">
        <f t="shared" si="276"/>
        <v>-216324.69534898014</v>
      </c>
      <c r="Q367" s="414">
        <f t="shared" si="276"/>
        <v>-203620.10937857948</v>
      </c>
      <c r="R367" s="414">
        <f t="shared" si="276"/>
        <v>-191665.37269173656</v>
      </c>
      <c r="S367" s="414">
        <f t="shared" si="276"/>
        <v>-180415.99624893453</v>
      </c>
      <c r="T367" s="414">
        <f t="shared" si="276"/>
        <v>-169830.1449121029</v>
      </c>
      <c r="U367" s="414">
        <f t="shared" si="276"/>
        <v>-159868.47824814747</v>
      </c>
      <c r="V367" s="414">
        <f t="shared" si="276"/>
        <v>-150494.00093615477</v>
      </c>
      <c r="W367" s="414">
        <f t="shared" si="276"/>
        <v>-141671.92219561996</v>
      </c>
      <c r="X367" s="414">
        <f t="shared" si="276"/>
        <v>-133452.7035244905</v>
      </c>
      <c r="Y367" s="414">
        <f t="shared" si="276"/>
        <v>-125633.83165698961</v>
      </c>
      <c r="Z367" s="414">
        <f t="shared" si="276"/>
        <v>-118275.27999589007</v>
      </c>
      <c r="AA367" s="414">
        <f t="shared" si="276"/>
        <v>-111349.80961965886</v>
      </c>
      <c r="AB367" s="414">
        <f t="shared" si="276"/>
        <v>-104831.8020394534</v>
      </c>
      <c r="AC367" s="459">
        <f>SUM(AC363:AC366)+BK315*1000000</f>
        <v>-2575326.8098479407</v>
      </c>
    </row>
    <row r="368" spans="3:30" ht="15.75">
      <c r="C368" s="401" t="s">
        <v>0</v>
      </c>
      <c r="D368" s="418">
        <f>SUM(D369:D375)</f>
        <v>13554.699533961821</v>
      </c>
      <c r="F368" s="406"/>
      <c r="G368" s="406"/>
      <c r="H368" s="406"/>
      <c r="I368" s="406"/>
      <c r="J368" s="406"/>
      <c r="K368" s="406"/>
      <c r="L368" s="406"/>
      <c r="M368" s="406"/>
      <c r="N368" s="406"/>
      <c r="O368" s="406"/>
      <c r="P368" s="406"/>
      <c r="Q368" s="406"/>
      <c r="R368" s="406"/>
      <c r="S368" s="406"/>
      <c r="T368" s="406"/>
      <c r="U368" s="406"/>
      <c r="V368" s="406"/>
      <c r="W368" s="406"/>
      <c r="X368" s="406"/>
      <c r="Y368" s="406"/>
      <c r="Z368" s="406"/>
      <c r="AA368" s="406"/>
      <c r="AB368" s="406"/>
      <c r="AC368" s="406"/>
    </row>
    <row r="369" spans="3:29" ht="15.75">
      <c r="C369" s="403" t="s">
        <v>577</v>
      </c>
      <c r="D369" s="416">
        <f t="shared" ref="D369:D375" si="277">SUM(F369:AC369)/1000</f>
        <v>956.80048074187459</v>
      </c>
      <c r="F369" s="406">
        <f>F327*F$290</f>
        <v>0</v>
      </c>
      <c r="G369" s="406">
        <f t="shared" ref="G369:AC369" si="278">G327*G$290</f>
        <v>0</v>
      </c>
      <c r="H369" s="406">
        <f t="shared" si="278"/>
        <v>0</v>
      </c>
      <c r="I369" s="406">
        <f t="shared" si="278"/>
        <v>0</v>
      </c>
      <c r="J369" s="406">
        <f t="shared" si="278"/>
        <v>63766.682458718242</v>
      </c>
      <c r="K369" s="406">
        <f t="shared" si="278"/>
        <v>82424.08206946979</v>
      </c>
      <c r="L369" s="406">
        <f t="shared" si="278"/>
        <v>79986.556225650333</v>
      </c>
      <c r="M369" s="406">
        <f t="shared" si="278"/>
        <v>-9584.1650327618208</v>
      </c>
      <c r="N369" s="406">
        <f t="shared" si="278"/>
        <v>72535.948965374584</v>
      </c>
      <c r="O369" s="406">
        <f t="shared" si="278"/>
        <v>67870.009783454574</v>
      </c>
      <c r="P369" s="406">
        <f t="shared" si="278"/>
        <v>63504.468530869344</v>
      </c>
      <c r="Q369" s="406">
        <f t="shared" si="278"/>
        <v>59419.976780555538</v>
      </c>
      <c r="R369" s="406">
        <f t="shared" si="278"/>
        <v>55598.432535204294</v>
      </c>
      <c r="S369" s="406">
        <f t="shared" si="278"/>
        <v>52022.899932277927</v>
      </c>
      <c r="T369" s="406">
        <f t="shared" si="278"/>
        <v>48677.534121056473</v>
      </c>
      <c r="U369" s="406">
        <f t="shared" si="278"/>
        <v>45547.510978626859</v>
      </c>
      <c r="V369" s="406">
        <f t="shared" si="278"/>
        <v>42618.961353173712</v>
      </c>
      <c r="W369" s="406">
        <f t="shared" si="278"/>
        <v>39878.909542997877</v>
      </c>
      <c r="X369" s="406">
        <f t="shared" si="278"/>
        <v>37642.841710690322</v>
      </c>
      <c r="Y369" s="406">
        <f t="shared" si="278"/>
        <v>35223.398813627442</v>
      </c>
      <c r="Z369" s="406">
        <f t="shared" si="278"/>
        <v>32959.646479454706</v>
      </c>
      <c r="AA369" s="406">
        <f t="shared" si="278"/>
        <v>30841.559478153347</v>
      </c>
      <c r="AB369" s="406">
        <f t="shared" si="278"/>
        <v>28859.758326227773</v>
      </c>
      <c r="AC369" s="406">
        <f t="shared" si="278"/>
        <v>27005.467689053199</v>
      </c>
    </row>
    <row r="370" spans="3:29" ht="15.75">
      <c r="C370" s="403" t="s">
        <v>578</v>
      </c>
      <c r="D370" s="416">
        <f t="shared" si="277"/>
        <v>2490.4594448600678</v>
      </c>
      <c r="F370" s="406">
        <f t="shared" ref="F370:AC370" si="279">F328*F$290</f>
        <v>0</v>
      </c>
      <c r="G370" s="406">
        <f t="shared" si="279"/>
        <v>0</v>
      </c>
      <c r="H370" s="406">
        <f t="shared" si="279"/>
        <v>0</v>
      </c>
      <c r="I370" s="406">
        <f t="shared" si="279"/>
        <v>0</v>
      </c>
      <c r="J370" s="406">
        <f t="shared" si="279"/>
        <v>157451.91514770969</v>
      </c>
      <c r="K370" s="406">
        <f t="shared" si="279"/>
        <v>201456.74332494411</v>
      </c>
      <c r="L370" s="406">
        <f t="shared" si="279"/>
        <v>191380.71329732845</v>
      </c>
      <c r="M370" s="406">
        <f t="shared" si="279"/>
        <v>129653.96602909351</v>
      </c>
      <c r="N370" s="406">
        <f t="shared" si="279"/>
        <v>171115.65666774983</v>
      </c>
      <c r="O370" s="406">
        <f t="shared" si="279"/>
        <v>161085.6142490913</v>
      </c>
      <c r="P370" s="406">
        <f t="shared" si="279"/>
        <v>151646.11832282197</v>
      </c>
      <c r="Q370" s="406">
        <f t="shared" si="279"/>
        <v>142762.23639659031</v>
      </c>
      <c r="R370" s="406">
        <f t="shared" si="279"/>
        <v>134401.11231939498</v>
      </c>
      <c r="S370" s="406">
        <f t="shared" si="279"/>
        <v>126531.84225572413</v>
      </c>
      <c r="T370" s="406">
        <f t="shared" si="279"/>
        <v>119125.35810529484</v>
      </c>
      <c r="U370" s="406">
        <f t="shared" si="279"/>
        <v>112154.31791916334</v>
      </c>
      <c r="V370" s="406">
        <f t="shared" si="279"/>
        <v>105593.00289021571</v>
      </c>
      <c r="W370" s="406">
        <f t="shared" si="279"/>
        <v>99417.220521628464</v>
      </c>
      <c r="X370" s="406">
        <f t="shared" si="279"/>
        <v>93797.175111131641</v>
      </c>
      <c r="Y370" s="406">
        <f t="shared" si="279"/>
        <v>88313.047295237877</v>
      </c>
      <c r="Z370" s="406">
        <f t="shared" si="279"/>
        <v>83150.957409692404</v>
      </c>
      <c r="AA370" s="406">
        <f t="shared" si="279"/>
        <v>78291.908576976755</v>
      </c>
      <c r="AB370" s="406">
        <f t="shared" si="279"/>
        <v>73718.029852952182</v>
      </c>
      <c r="AC370" s="406">
        <f t="shared" si="279"/>
        <v>69412.509167325523</v>
      </c>
    </row>
    <row r="371" spans="3:29" ht="15.75">
      <c r="C371" s="403" t="s">
        <v>199</v>
      </c>
      <c r="D371" s="416">
        <f t="shared" si="277"/>
        <v>2060.7343677992744</v>
      </c>
      <c r="F371" s="406">
        <f t="shared" ref="F371:AC371" si="280">F329*F$290</f>
        <v>0</v>
      </c>
      <c r="G371" s="406">
        <f t="shared" si="280"/>
        <v>0</v>
      </c>
      <c r="H371" s="406">
        <f t="shared" si="280"/>
        <v>0</v>
      </c>
      <c r="I371" s="406">
        <f t="shared" si="280"/>
        <v>0</v>
      </c>
      <c r="J371" s="406">
        <f t="shared" si="280"/>
        <v>126654.93052072791</v>
      </c>
      <c r="K371" s="406">
        <f t="shared" si="280"/>
        <v>161843.84384040354</v>
      </c>
      <c r="L371" s="406">
        <f t="shared" si="280"/>
        <v>153038.80532048881</v>
      </c>
      <c r="M371" s="406">
        <f t="shared" si="280"/>
        <v>140659.89736009351</v>
      </c>
      <c r="N371" s="406">
        <f t="shared" si="280"/>
        <v>136724.64686391375</v>
      </c>
      <c r="O371" s="406">
        <f t="shared" si="280"/>
        <v>129176.67456724199</v>
      </c>
      <c r="P371" s="406">
        <f t="shared" si="280"/>
        <v>122045.66580873898</v>
      </c>
      <c r="Q371" s="406">
        <f t="shared" si="280"/>
        <v>115308.58139186102</v>
      </c>
      <c r="R371" s="406">
        <f t="shared" si="280"/>
        <v>108943.65492888798</v>
      </c>
      <c r="S371" s="406">
        <f t="shared" si="280"/>
        <v>102930.32256475464</v>
      </c>
      <c r="T371" s="406">
        <f t="shared" si="280"/>
        <v>97249.156577139991</v>
      </c>
      <c r="U371" s="406">
        <f t="shared" si="280"/>
        <v>91881.802639329384</v>
      </c>
      <c r="V371" s="406">
        <f t="shared" si="280"/>
        <v>86810.920544099135</v>
      </c>
      <c r="W371" s="406">
        <f t="shared" si="280"/>
        <v>82020.128197961982</v>
      </c>
      <c r="X371" s="406">
        <f t="shared" si="280"/>
        <v>77511.476325830925</v>
      </c>
      <c r="Y371" s="406">
        <f t="shared" si="280"/>
        <v>73234.377071197407</v>
      </c>
      <c r="Z371" s="406">
        <f t="shared" si="280"/>
        <v>69193.501265680723</v>
      </c>
      <c r="AA371" s="406">
        <f t="shared" si="280"/>
        <v>65375.796294769687</v>
      </c>
      <c r="AB371" s="406">
        <f t="shared" si="280"/>
        <v>61768.930813336148</v>
      </c>
      <c r="AC371" s="406">
        <f t="shared" si="280"/>
        <v>58361.25490281712</v>
      </c>
    </row>
    <row r="372" spans="3:29" ht="15.75">
      <c r="C372" s="403" t="s">
        <v>200</v>
      </c>
      <c r="D372" s="416">
        <f t="shared" si="277"/>
        <v>2195.0697578707377</v>
      </c>
      <c r="F372" s="406">
        <f t="shared" ref="F372:AC372" si="281">F330*F$290</f>
        <v>0</v>
      </c>
      <c r="G372" s="406">
        <f t="shared" si="281"/>
        <v>0</v>
      </c>
      <c r="H372" s="406">
        <f t="shared" si="281"/>
        <v>0</v>
      </c>
      <c r="I372" s="406">
        <f t="shared" si="281"/>
        <v>0</v>
      </c>
      <c r="J372" s="406">
        <f t="shared" si="281"/>
        <v>190840.69108562786</v>
      </c>
      <c r="K372" s="406">
        <f t="shared" si="281"/>
        <v>180858.97922219941</v>
      </c>
      <c r="L372" s="406">
        <f t="shared" si="281"/>
        <v>169185.03454692438</v>
      </c>
      <c r="M372" s="406">
        <f t="shared" si="281"/>
        <v>155218.97463269715</v>
      </c>
      <c r="N372" s="406">
        <f t="shared" si="281"/>
        <v>147962.45394599374</v>
      </c>
      <c r="O372" s="406">
        <f t="shared" si="281"/>
        <v>138331.02381086248</v>
      </c>
      <c r="P372" s="406">
        <f t="shared" si="281"/>
        <v>129326.95643544773</v>
      </c>
      <c r="Q372" s="406">
        <f t="shared" si="281"/>
        <v>120909.36378240953</v>
      </c>
      <c r="R372" s="406">
        <f t="shared" si="281"/>
        <v>113040.0239933229</v>
      </c>
      <c r="S372" s="406">
        <f t="shared" si="281"/>
        <v>105683.20746119901</v>
      </c>
      <c r="T372" s="406">
        <f t="shared" si="281"/>
        <v>98805.514253306756</v>
      </c>
      <c r="U372" s="406">
        <f t="shared" si="281"/>
        <v>92375.722143350373</v>
      </c>
      <c r="V372" s="406">
        <f t="shared" si="281"/>
        <v>86364.644560444242</v>
      </c>
      <c r="W372" s="406">
        <f t="shared" si="281"/>
        <v>80744.997807544612</v>
      </c>
      <c r="X372" s="406">
        <f t="shared" si="281"/>
        <v>75502.554183488624</v>
      </c>
      <c r="Y372" s="406">
        <f t="shared" si="281"/>
        <v>70590.187122869422</v>
      </c>
      <c r="Z372" s="406">
        <f t="shared" si="281"/>
        <v>65997.663071903618</v>
      </c>
      <c r="AA372" s="406">
        <f t="shared" si="281"/>
        <v>61704.143980301793</v>
      </c>
      <c r="AB372" s="406">
        <f t="shared" si="281"/>
        <v>57690.150155644988</v>
      </c>
      <c r="AC372" s="406">
        <f t="shared" si="281"/>
        <v>53937.471675199376</v>
      </c>
    </row>
    <row r="373" spans="3:29" ht="15.75">
      <c r="C373" s="403" t="s">
        <v>201</v>
      </c>
      <c r="D373" s="416">
        <f t="shared" si="277"/>
        <v>556.09611842394384</v>
      </c>
      <c r="F373" s="406">
        <f t="shared" ref="F373:AC373" si="282">F331*F$290</f>
        <v>0</v>
      </c>
      <c r="G373" s="406">
        <f t="shared" si="282"/>
        <v>0</v>
      </c>
      <c r="H373" s="406">
        <f t="shared" si="282"/>
        <v>0</v>
      </c>
      <c r="I373" s="406">
        <f t="shared" si="282"/>
        <v>0</v>
      </c>
      <c r="J373" s="406">
        <f t="shared" si="282"/>
        <v>44741.121906946282</v>
      </c>
      <c r="K373" s="406">
        <f t="shared" si="282"/>
        <v>54417.45186004736</v>
      </c>
      <c r="L373" s="406">
        <f t="shared" si="282"/>
        <v>49072.219648419043</v>
      </c>
      <c r="M373" s="406">
        <f t="shared" si="282"/>
        <v>28240.431087965051</v>
      </c>
      <c r="N373" s="406">
        <f t="shared" si="282"/>
        <v>39543.497214496558</v>
      </c>
      <c r="O373" s="406">
        <f t="shared" si="282"/>
        <v>35349.774309876302</v>
      </c>
      <c r="P373" s="406">
        <f t="shared" si="282"/>
        <v>32946.64126806584</v>
      </c>
      <c r="Q373" s="406">
        <f t="shared" si="282"/>
        <v>30699.153714940821</v>
      </c>
      <c r="R373" s="406">
        <f t="shared" si="282"/>
        <v>28606.594068036597</v>
      </c>
      <c r="S373" s="406">
        <f t="shared" si="282"/>
        <v>26649.858865876151</v>
      </c>
      <c r="T373" s="406">
        <f t="shared" si="282"/>
        <v>24828.209159696613</v>
      </c>
      <c r="U373" s="406">
        <f t="shared" si="282"/>
        <v>23125.067328554007</v>
      </c>
      <c r="V373" s="406">
        <f t="shared" si="282"/>
        <v>21539.687548463207</v>
      </c>
      <c r="W373" s="406">
        <f t="shared" si="282"/>
        <v>20057.688820786683</v>
      </c>
      <c r="X373" s="406">
        <f t="shared" si="282"/>
        <v>18724.26863412678</v>
      </c>
      <c r="Y373" s="406">
        <f t="shared" si="282"/>
        <v>17434.52928792527</v>
      </c>
      <c r="Z373" s="406">
        <f t="shared" si="282"/>
        <v>16413.517116452025</v>
      </c>
      <c r="AA373" s="406">
        <f t="shared" si="282"/>
        <v>15454.913165350948</v>
      </c>
      <c r="AB373" s="406">
        <f t="shared" si="282"/>
        <v>14550.38435884717</v>
      </c>
      <c r="AC373" s="406">
        <f t="shared" si="282"/>
        <v>13701.109059071121</v>
      </c>
    </row>
    <row r="374" spans="3:29" ht="15.75">
      <c r="C374" s="403" t="s">
        <v>579</v>
      </c>
      <c r="D374" s="416">
        <f t="shared" si="277"/>
        <v>6.8135857931754762</v>
      </c>
      <c r="F374" s="406">
        <f t="shared" ref="F374:AC374" si="283">F332*F$290</f>
        <v>0</v>
      </c>
      <c r="G374" s="406">
        <f t="shared" si="283"/>
        <v>0</v>
      </c>
      <c r="H374" s="406">
        <f t="shared" si="283"/>
        <v>0</v>
      </c>
      <c r="I374" s="406">
        <f t="shared" si="283"/>
        <v>0</v>
      </c>
      <c r="J374" s="406">
        <f t="shared" si="283"/>
        <v>421.99804147566147</v>
      </c>
      <c r="K374" s="406">
        <f t="shared" si="283"/>
        <v>538.52551646744064</v>
      </c>
      <c r="L374" s="406">
        <f t="shared" si="283"/>
        <v>508.40943295694416</v>
      </c>
      <c r="M374" s="406">
        <f t="shared" si="283"/>
        <v>476.49099963278178</v>
      </c>
      <c r="N374" s="406">
        <f t="shared" si="283"/>
        <v>453.03006144418202</v>
      </c>
      <c r="O374" s="406">
        <f t="shared" si="283"/>
        <v>427.59743808916284</v>
      </c>
      <c r="P374" s="406">
        <f t="shared" si="283"/>
        <v>403.592822840162</v>
      </c>
      <c r="Q374" s="406">
        <f t="shared" si="283"/>
        <v>380.93601894391014</v>
      </c>
      <c r="R374" s="406">
        <f t="shared" si="283"/>
        <v>359.55133451796542</v>
      </c>
      <c r="S374" s="406">
        <f t="shared" si="283"/>
        <v>339.36732943330514</v>
      </c>
      <c r="T374" s="406">
        <f t="shared" si="283"/>
        <v>320.31657642323665</v>
      </c>
      <c r="U374" s="406">
        <f t="shared" si="283"/>
        <v>302.33543561876854</v>
      </c>
      <c r="V374" s="406">
        <f t="shared" si="283"/>
        <v>285.36384175557509</v>
      </c>
      <c r="W374" s="406">
        <f t="shared" si="283"/>
        <v>269.34510334013891</v>
      </c>
      <c r="X374" s="406">
        <f t="shared" si="283"/>
        <v>254.23861435619202</v>
      </c>
      <c r="Y374" s="406">
        <f t="shared" si="283"/>
        <v>239.96723536190464</v>
      </c>
      <c r="Z374" s="406">
        <f t="shared" si="283"/>
        <v>226.49709118830012</v>
      </c>
      <c r="AA374" s="406">
        <f t="shared" si="283"/>
        <v>213.78319002089276</v>
      </c>
      <c r="AB374" s="406">
        <f t="shared" si="283"/>
        <v>201.78306700822765</v>
      </c>
      <c r="AC374" s="406">
        <f t="shared" si="283"/>
        <v>190.45664230072504</v>
      </c>
    </row>
    <row r="375" spans="3:29" ht="15.75">
      <c r="C375" s="403" t="s">
        <v>202</v>
      </c>
      <c r="D375" s="416">
        <f t="shared" si="277"/>
        <v>5288.7257784727462</v>
      </c>
      <c r="F375" s="406">
        <f t="shared" ref="F375:AC375" si="284">F333*F$290</f>
        <v>0</v>
      </c>
      <c r="G375" s="406">
        <f t="shared" si="284"/>
        <v>0</v>
      </c>
      <c r="H375" s="406">
        <f t="shared" si="284"/>
        <v>0</v>
      </c>
      <c r="I375" s="406">
        <f t="shared" si="284"/>
        <v>0</v>
      </c>
      <c r="J375" s="406">
        <f t="shared" si="284"/>
        <v>348544.46537777747</v>
      </c>
      <c r="K375" s="406">
        <f t="shared" si="284"/>
        <v>448240.54921462946</v>
      </c>
      <c r="L375" s="406">
        <f t="shared" si="284"/>
        <v>430964.88331601344</v>
      </c>
      <c r="M375" s="406">
        <f t="shared" si="284"/>
        <v>78448.924453151747</v>
      </c>
      <c r="N375" s="406">
        <f t="shared" si="284"/>
        <v>387827.79394038825</v>
      </c>
      <c r="O375" s="406">
        <f t="shared" si="284"/>
        <v>363281.01146295376</v>
      </c>
      <c r="P375" s="406">
        <f t="shared" si="284"/>
        <v>340291.70712244319</v>
      </c>
      <c r="Q375" s="406">
        <f t="shared" si="284"/>
        <v>318760.84157593135</v>
      </c>
      <c r="R375" s="406">
        <f t="shared" si="284"/>
        <v>298595.68571729719</v>
      </c>
      <c r="S375" s="406">
        <f t="shared" si="284"/>
        <v>279709.41792588576</v>
      </c>
      <c r="T375" s="406">
        <f t="shared" si="284"/>
        <v>262020.74706005404</v>
      </c>
      <c r="U375" s="406">
        <f t="shared" si="284"/>
        <v>245453.55954772292</v>
      </c>
      <c r="V375" s="406">
        <f t="shared" si="284"/>
        <v>229936.58903166006</v>
      </c>
      <c r="W375" s="406">
        <f t="shared" si="284"/>
        <v>215403.10712604274</v>
      </c>
      <c r="X375" s="406">
        <f t="shared" si="284"/>
        <v>203033.0833401237</v>
      </c>
      <c r="Y375" s="406">
        <f t="shared" si="284"/>
        <v>190202.702718916</v>
      </c>
      <c r="Z375" s="406">
        <f t="shared" si="284"/>
        <v>178185.2537718511</v>
      </c>
      <c r="AA375" s="406">
        <f t="shared" si="284"/>
        <v>166929.10755641275</v>
      </c>
      <c r="AB375" s="406">
        <f t="shared" si="284"/>
        <v>156385.920971076</v>
      </c>
      <c r="AC375" s="406">
        <f t="shared" si="284"/>
        <v>146510.4272424152</v>
      </c>
    </row>
    <row r="376" spans="3:29" ht="15.75">
      <c r="C376" s="402"/>
      <c r="D376" s="417"/>
      <c r="F376" s="413">
        <f>SUM(F369:F375)</f>
        <v>0</v>
      </c>
      <c r="G376" s="413">
        <f t="shared" ref="G376:AB376" si="285">SUM(G369:G375)</f>
        <v>0</v>
      </c>
      <c r="H376" s="413">
        <f t="shared" si="285"/>
        <v>0</v>
      </c>
      <c r="I376" s="413">
        <f t="shared" si="285"/>
        <v>0</v>
      </c>
      <c r="J376" s="413">
        <f t="shared" si="285"/>
        <v>932421.80453898315</v>
      </c>
      <c r="K376" s="413">
        <f t="shared" si="285"/>
        <v>1129780.1750481611</v>
      </c>
      <c r="L376" s="413">
        <f t="shared" si="285"/>
        <v>1074136.6217877814</v>
      </c>
      <c r="M376" s="413">
        <f t="shared" si="285"/>
        <v>523114.51952987193</v>
      </c>
      <c r="N376" s="413">
        <f t="shared" si="285"/>
        <v>956163.0276593609</v>
      </c>
      <c r="O376" s="413">
        <f t="shared" si="285"/>
        <v>895521.70562156953</v>
      </c>
      <c r="P376" s="413">
        <f t="shared" si="285"/>
        <v>840165.15031122719</v>
      </c>
      <c r="Q376" s="413">
        <f t="shared" si="285"/>
        <v>788241.08966123243</v>
      </c>
      <c r="R376" s="413">
        <f t="shared" si="285"/>
        <v>739545.0548966619</v>
      </c>
      <c r="S376" s="413">
        <f t="shared" si="285"/>
        <v>693866.91633515095</v>
      </c>
      <c r="T376" s="413">
        <f t="shared" si="285"/>
        <v>651026.835852972</v>
      </c>
      <c r="U376" s="413">
        <f t="shared" si="285"/>
        <v>610840.31599236559</v>
      </c>
      <c r="V376" s="413">
        <f t="shared" si="285"/>
        <v>573149.16976981168</v>
      </c>
      <c r="W376" s="413">
        <f t="shared" si="285"/>
        <v>537791.39712030254</v>
      </c>
      <c r="X376" s="413">
        <f t="shared" si="285"/>
        <v>506465.6379197482</v>
      </c>
      <c r="Y376" s="413">
        <f t="shared" si="285"/>
        <v>475238.20954513532</v>
      </c>
      <c r="Z376" s="413">
        <f t="shared" si="285"/>
        <v>446127.03620622295</v>
      </c>
      <c r="AA376" s="413">
        <f t="shared" si="285"/>
        <v>418811.21224198618</v>
      </c>
      <c r="AB376" s="413">
        <f t="shared" si="285"/>
        <v>393174.95754509245</v>
      </c>
      <c r="AC376" s="460">
        <f>SUM(AC369:AC375)+BK316*1000000</f>
        <v>7860674.8129391279</v>
      </c>
    </row>
    <row r="377" spans="3:29" ht="15.75">
      <c r="C377" s="401" t="s">
        <v>182</v>
      </c>
      <c r="D377" s="418">
        <f>NPV(0.07,F336:AC336)/1000</f>
        <v>4799.7691980744385</v>
      </c>
    </row>
    <row r="378" spans="3:29" ht="15.75">
      <c r="C378" s="401" t="s">
        <v>183</v>
      </c>
      <c r="D378" s="419">
        <f>IRR(F378:AC378)</f>
        <v>1.1962738528459369E-2</v>
      </c>
      <c r="F378" s="406">
        <f>F367+F376</f>
        <v>-967913.08411214955</v>
      </c>
      <c r="G378" s="406">
        <f t="shared" ref="G378:AC378" si="286">G367+G376</f>
        <v>-2025954.2318106382</v>
      </c>
      <c r="H378" s="406">
        <f t="shared" si="286"/>
        <v>-3150824.7133978154</v>
      </c>
      <c r="I378" s="406">
        <f t="shared" si="286"/>
        <v>-5429427.1968755834</v>
      </c>
      <c r="J378" s="406">
        <f t="shared" si="286"/>
        <v>-542536.60770180682</v>
      </c>
      <c r="K378" s="406">
        <f t="shared" si="286"/>
        <v>838504.08199912007</v>
      </c>
      <c r="L378" s="406">
        <f t="shared" si="286"/>
        <v>799243.02062350721</v>
      </c>
      <c r="M378" s="406">
        <f t="shared" si="286"/>
        <v>286155.73320653453</v>
      </c>
      <c r="N378" s="406">
        <f t="shared" si="286"/>
        <v>711987.35944452859</v>
      </c>
      <c r="O378" s="406">
        <f t="shared" si="286"/>
        <v>665695.26265699998</v>
      </c>
      <c r="P378" s="406">
        <f t="shared" si="286"/>
        <v>623840.45496224705</v>
      </c>
      <c r="Q378" s="406">
        <f t="shared" si="286"/>
        <v>584620.98028265289</v>
      </c>
      <c r="R378" s="406">
        <f t="shared" si="286"/>
        <v>547879.68220492534</v>
      </c>
      <c r="S378" s="406">
        <f t="shared" si="286"/>
        <v>513450.92008621641</v>
      </c>
      <c r="T378" s="406">
        <f t="shared" si="286"/>
        <v>481196.6909408691</v>
      </c>
      <c r="U378" s="406">
        <f t="shared" si="286"/>
        <v>450971.83774421812</v>
      </c>
      <c r="V378" s="406">
        <f t="shared" si="286"/>
        <v>422655.16883365694</v>
      </c>
      <c r="W378" s="406">
        <f t="shared" si="286"/>
        <v>396119.47492468258</v>
      </c>
      <c r="X378" s="406">
        <f t="shared" si="286"/>
        <v>373012.93439525773</v>
      </c>
      <c r="Y378" s="406">
        <f t="shared" si="286"/>
        <v>349604.37788814574</v>
      </c>
      <c r="Z378" s="406">
        <f t="shared" si="286"/>
        <v>327851.75621033285</v>
      </c>
      <c r="AA378" s="406">
        <f t="shared" si="286"/>
        <v>307461.40262232732</v>
      </c>
      <c r="AB378" s="406">
        <f t="shared" si="286"/>
        <v>288343.15550563904</v>
      </c>
      <c r="AC378" s="406">
        <f t="shared" si="286"/>
        <v>5285348.0030911872</v>
      </c>
    </row>
    <row r="379" spans="3:29" ht="15.75">
      <c r="C379" s="401" t="s">
        <v>184</v>
      </c>
      <c r="D379" s="420">
        <f>SUM(F376:AC376)/-SUM(F367:AC367)</f>
        <v>1.1130303002036366</v>
      </c>
    </row>
  </sheetData>
  <pageMargins left="0.34" right="0.28999999999999998" top="0.4" bottom="0.75" header="0.3" footer="0.3"/>
  <pageSetup paperSize="5" scale="22" fitToHeight="4" orientation="landscape" r:id="rId1"/>
  <ignoredErrors>
    <ignoredError sqref="D92" formula="1"/>
  </ignoredErrors>
</worksheet>
</file>

<file path=xl/worksheets/sheet5.xml><?xml version="1.0" encoding="utf-8"?>
<worksheet xmlns="http://schemas.openxmlformats.org/spreadsheetml/2006/main" xmlns:r="http://schemas.openxmlformats.org/officeDocument/2006/relationships">
  <dimension ref="A3:Z181"/>
  <sheetViews>
    <sheetView zoomScale="75" zoomScaleNormal="75" workbookViewId="0"/>
  </sheetViews>
  <sheetFormatPr defaultRowHeight="12.75"/>
  <cols>
    <col min="1" max="1" width="16.140625" customWidth="1"/>
    <col min="2" max="2" width="23.42578125" customWidth="1"/>
    <col min="3" max="3" width="10.42578125" bestFit="1" customWidth="1"/>
    <col min="4" max="4" width="9.28515625" bestFit="1" customWidth="1"/>
    <col min="5" max="6" width="11" bestFit="1" customWidth="1"/>
    <col min="7" max="7" width="10.5703125" bestFit="1" customWidth="1"/>
    <col min="8" max="9" width="11" customWidth="1"/>
    <col min="10" max="14" width="10.5703125" bestFit="1" customWidth="1"/>
    <col min="15" max="15" width="10.42578125" bestFit="1" customWidth="1"/>
    <col min="16" max="16" width="10" bestFit="1" customWidth="1"/>
    <col min="17" max="17" width="10.5703125" bestFit="1" customWidth="1"/>
    <col min="18" max="19" width="10.42578125" bestFit="1" customWidth="1"/>
    <col min="20" max="20" width="10.5703125" bestFit="1" customWidth="1"/>
    <col min="21" max="21" width="10.42578125" bestFit="1" customWidth="1"/>
    <col min="22" max="22" width="10.5703125" bestFit="1" customWidth="1"/>
    <col min="23" max="23" width="10.28515625" bestFit="1" customWidth="1"/>
    <col min="24" max="26" width="10.5703125" bestFit="1" customWidth="1"/>
  </cols>
  <sheetData>
    <row r="3" spans="1:26">
      <c r="A3" s="3" t="s">
        <v>390</v>
      </c>
      <c r="C3" s="75">
        <v>2013</v>
      </c>
      <c r="D3" s="75">
        <v>2014</v>
      </c>
      <c r="E3" s="75">
        <v>2015</v>
      </c>
      <c r="F3" s="75">
        <v>2016</v>
      </c>
      <c r="G3" s="75">
        <v>2017</v>
      </c>
      <c r="H3" s="75">
        <v>2018</v>
      </c>
      <c r="I3" s="75">
        <v>2019</v>
      </c>
      <c r="J3" s="75">
        <v>2020</v>
      </c>
      <c r="K3" s="75">
        <v>2021</v>
      </c>
      <c r="L3" s="75">
        <v>2022</v>
      </c>
      <c r="M3" s="75">
        <v>2023</v>
      </c>
      <c r="N3" s="75">
        <v>2024</v>
      </c>
      <c r="O3" s="75">
        <v>2025</v>
      </c>
      <c r="P3" s="75">
        <v>2026</v>
      </c>
      <c r="Q3" s="75">
        <v>2027</v>
      </c>
      <c r="R3" s="75">
        <v>2028</v>
      </c>
      <c r="S3" s="75">
        <v>2029</v>
      </c>
      <c r="T3" s="75">
        <v>2030</v>
      </c>
      <c r="U3" s="75">
        <v>2031</v>
      </c>
      <c r="V3" s="75">
        <v>2032</v>
      </c>
      <c r="W3" s="75">
        <v>2033</v>
      </c>
      <c r="X3" s="75">
        <v>2034</v>
      </c>
      <c r="Y3" s="75">
        <v>2035</v>
      </c>
      <c r="Z3" s="75">
        <v>2036</v>
      </c>
    </row>
    <row r="4" spans="1:26">
      <c r="C4" s="75" t="s">
        <v>18</v>
      </c>
      <c r="D4" s="72" t="s">
        <v>19</v>
      </c>
      <c r="E4" s="72" t="s">
        <v>20</v>
      </c>
      <c r="F4" s="72" t="s">
        <v>21</v>
      </c>
      <c r="G4" s="72" t="s">
        <v>22</v>
      </c>
      <c r="H4" s="72" t="s">
        <v>23</v>
      </c>
      <c r="I4" s="72" t="s">
        <v>24</v>
      </c>
      <c r="J4" s="72" t="s">
        <v>25</v>
      </c>
      <c r="K4" s="72" t="s">
        <v>26</v>
      </c>
      <c r="L4" s="72" t="s">
        <v>27</v>
      </c>
      <c r="M4" s="72" t="s">
        <v>28</v>
      </c>
      <c r="N4" s="72" t="s">
        <v>29</v>
      </c>
      <c r="O4" s="72" t="s">
        <v>30</v>
      </c>
      <c r="P4" s="72" t="s">
        <v>31</v>
      </c>
      <c r="Q4" s="72" t="s">
        <v>32</v>
      </c>
      <c r="R4" s="72" t="s">
        <v>33</v>
      </c>
      <c r="S4" s="72" t="s">
        <v>34</v>
      </c>
      <c r="T4" s="72" t="s">
        <v>35</v>
      </c>
      <c r="U4" s="72" t="s">
        <v>36</v>
      </c>
      <c r="V4" s="72" t="s">
        <v>123</v>
      </c>
      <c r="W4" s="72" t="s">
        <v>242</v>
      </c>
      <c r="X4" s="72" t="s">
        <v>243</v>
      </c>
      <c r="Y4" s="72" t="s">
        <v>244</v>
      </c>
      <c r="Z4" s="72" t="s">
        <v>245</v>
      </c>
    </row>
    <row r="5" spans="1:26">
      <c r="A5" s="5" t="s">
        <v>351</v>
      </c>
      <c r="B5" s="53"/>
    </row>
    <row r="6" spans="1:26">
      <c r="A6" s="70" t="s">
        <v>350</v>
      </c>
      <c r="B6" s="70" t="s">
        <v>350</v>
      </c>
      <c r="G6">
        <f>G89*0.75</f>
        <v>198629.96110314463</v>
      </c>
      <c r="H6">
        <f t="shared" ref="H6:Z6" si="0">H89</f>
        <v>273764.93517190771</v>
      </c>
      <c r="I6">
        <f t="shared" si="0"/>
        <v>282689.92220628931</v>
      </c>
      <c r="J6">
        <f t="shared" si="0"/>
        <v>8924.9870343815546</v>
      </c>
      <c r="K6">
        <f t="shared" si="0"/>
        <v>291833.39199677389</v>
      </c>
      <c r="L6">
        <f t="shared" si="0"/>
        <v>292051.87475287699</v>
      </c>
      <c r="M6">
        <f t="shared" si="0"/>
        <v>292270.35750898003</v>
      </c>
      <c r="N6">
        <f t="shared" si="0"/>
        <v>292488.84026508307</v>
      </c>
      <c r="O6">
        <f t="shared" si="0"/>
        <v>292707.32302118611</v>
      </c>
      <c r="P6">
        <f t="shared" si="0"/>
        <v>292925.80577728921</v>
      </c>
      <c r="Q6">
        <f t="shared" si="0"/>
        <v>293144.28853339225</v>
      </c>
      <c r="R6">
        <f t="shared" si="0"/>
        <v>293362.77128949529</v>
      </c>
      <c r="S6">
        <f t="shared" si="0"/>
        <v>293581.25404559838</v>
      </c>
      <c r="T6">
        <f t="shared" si="0"/>
        <v>293799.73680170142</v>
      </c>
      <c r="U6">
        <f t="shared" si="0"/>
        <v>296221.16120505251</v>
      </c>
      <c r="V6">
        <f t="shared" si="0"/>
        <v>296441.29069626622</v>
      </c>
      <c r="W6">
        <f t="shared" si="0"/>
        <v>296661.42018747999</v>
      </c>
      <c r="X6">
        <f t="shared" si="0"/>
        <v>296881.54967869364</v>
      </c>
      <c r="Y6">
        <f t="shared" si="0"/>
        <v>297101.67916990735</v>
      </c>
      <c r="Z6">
        <f t="shared" si="0"/>
        <v>297321.80866112112</v>
      </c>
    </row>
    <row r="7" spans="1:26">
      <c r="A7" s="70" t="s">
        <v>408</v>
      </c>
      <c r="B7" s="54" t="s">
        <v>409</v>
      </c>
      <c r="C7">
        <f t="shared" ref="C7:E8" si="1">C92</f>
        <v>0</v>
      </c>
      <c r="D7">
        <f t="shared" si="1"/>
        <v>0</v>
      </c>
      <c r="E7">
        <f t="shared" si="1"/>
        <v>0</v>
      </c>
      <c r="F7" s="34">
        <f t="shared" ref="F7:Z7" si="2">F91</f>
        <v>0</v>
      </c>
      <c r="G7" s="34">
        <f t="shared" si="2"/>
        <v>9931.4980551572316</v>
      </c>
      <c r="H7" s="34">
        <f t="shared" si="2"/>
        <v>13688.246758595385</v>
      </c>
      <c r="I7" s="34">
        <f t="shared" si="2"/>
        <v>14134.496110314467</v>
      </c>
      <c r="J7" s="34">
        <f t="shared" si="2"/>
        <v>446.24935171907777</v>
      </c>
      <c r="K7" s="34">
        <f t="shared" si="2"/>
        <v>14591.669599838695</v>
      </c>
      <c r="L7" s="34">
        <f t="shared" si="2"/>
        <v>14602.593737643851</v>
      </c>
      <c r="M7" s="34">
        <f t="shared" si="2"/>
        <v>14613.517875449003</v>
      </c>
      <c r="N7" s="34">
        <f t="shared" si="2"/>
        <v>14624.442013254155</v>
      </c>
      <c r="O7" s="34">
        <f t="shared" si="2"/>
        <v>14635.366151059307</v>
      </c>
      <c r="P7" s="34">
        <f t="shared" si="2"/>
        <v>14646.29028886446</v>
      </c>
      <c r="Q7" s="34">
        <f t="shared" si="2"/>
        <v>14657.214426669612</v>
      </c>
      <c r="R7" s="34">
        <f t="shared" si="2"/>
        <v>14668.138564474764</v>
      </c>
      <c r="S7" s="34">
        <f t="shared" si="2"/>
        <v>14679.06270227992</v>
      </c>
      <c r="T7" s="34">
        <f t="shared" si="2"/>
        <v>14689.986840085072</v>
      </c>
      <c r="U7" s="34">
        <f t="shared" si="2"/>
        <v>14811.058060252626</v>
      </c>
      <c r="V7" s="34">
        <f t="shared" si="2"/>
        <v>14822.064534813311</v>
      </c>
      <c r="W7" s="34">
        <f t="shared" si="2"/>
        <v>14833.071009374</v>
      </c>
      <c r="X7" s="34">
        <f t="shared" si="2"/>
        <v>14844.077483934683</v>
      </c>
      <c r="Y7" s="34">
        <f t="shared" si="2"/>
        <v>14855.083958495368</v>
      </c>
      <c r="Z7" s="34">
        <f t="shared" si="2"/>
        <v>14866.090433056057</v>
      </c>
    </row>
    <row r="8" spans="1:26">
      <c r="A8" s="70"/>
      <c r="B8" s="78" t="s">
        <v>402</v>
      </c>
      <c r="C8">
        <f t="shared" si="1"/>
        <v>0</v>
      </c>
      <c r="D8">
        <f t="shared" si="1"/>
        <v>0</v>
      </c>
      <c r="E8">
        <f t="shared" si="1"/>
        <v>0</v>
      </c>
      <c r="F8" s="34">
        <f t="shared" ref="F8:Z8" si="3">F92</f>
        <v>0</v>
      </c>
      <c r="G8" s="34">
        <f t="shared" si="3"/>
        <v>9931.4980551572316</v>
      </c>
      <c r="H8" s="34">
        <f t="shared" si="3"/>
        <v>13688.246758595385</v>
      </c>
      <c r="I8" s="34">
        <f t="shared" si="3"/>
        <v>14134.496110314467</v>
      </c>
      <c r="J8" s="34">
        <f t="shared" si="3"/>
        <v>446.24935171907777</v>
      </c>
      <c r="K8" s="34">
        <f t="shared" si="3"/>
        <v>14591.669599838695</v>
      </c>
      <c r="L8" s="34">
        <f t="shared" si="3"/>
        <v>14602.593737643851</v>
      </c>
      <c r="M8" s="34">
        <f t="shared" si="3"/>
        <v>14613.517875449003</v>
      </c>
      <c r="N8" s="34">
        <f t="shared" si="3"/>
        <v>14624.442013254155</v>
      </c>
      <c r="O8" s="34">
        <f t="shared" si="3"/>
        <v>14635.366151059307</v>
      </c>
      <c r="P8" s="34">
        <f t="shared" si="3"/>
        <v>14646.29028886446</v>
      </c>
      <c r="Q8" s="34">
        <f t="shared" si="3"/>
        <v>14657.214426669612</v>
      </c>
      <c r="R8" s="34">
        <f t="shared" si="3"/>
        <v>14668.138564474764</v>
      </c>
      <c r="S8" s="34">
        <f t="shared" si="3"/>
        <v>14679.06270227992</v>
      </c>
      <c r="T8" s="34">
        <f t="shared" si="3"/>
        <v>14689.986840085072</v>
      </c>
      <c r="U8" s="34">
        <f t="shared" si="3"/>
        <v>14811.058060252626</v>
      </c>
      <c r="V8" s="34">
        <f t="shared" si="3"/>
        <v>14822.064534813311</v>
      </c>
      <c r="W8" s="34">
        <f t="shared" si="3"/>
        <v>14833.071009374</v>
      </c>
      <c r="X8" s="34">
        <f t="shared" si="3"/>
        <v>14844.077483934683</v>
      </c>
      <c r="Y8" s="34">
        <f t="shared" si="3"/>
        <v>14855.083958495368</v>
      </c>
      <c r="Z8" s="34">
        <f t="shared" si="3"/>
        <v>14866.090433056057</v>
      </c>
    </row>
    <row r="9" spans="1:26">
      <c r="A9" s="70"/>
      <c r="B9" s="53"/>
    </row>
    <row r="10" spans="1:26">
      <c r="A10" s="58"/>
      <c r="B10" s="70"/>
    </row>
    <row r="11" spans="1:26">
      <c r="A11" s="5" t="s">
        <v>261</v>
      </c>
      <c r="B11" s="53"/>
    </row>
    <row r="12" spans="1:26">
      <c r="A12" s="70" t="s">
        <v>350</v>
      </c>
      <c r="B12" s="70" t="s">
        <v>350</v>
      </c>
      <c r="G12">
        <f>G96*0.75</f>
        <v>3865.6968319945345</v>
      </c>
      <c r="H12">
        <f t="shared" ref="H12:Z12" si="4">H96</f>
        <v>5327.9587667828337</v>
      </c>
      <c r="I12">
        <f t="shared" si="4"/>
        <v>5501.6550909062898</v>
      </c>
      <c r="J12">
        <f t="shared" si="4"/>
        <v>173.69632412345504</v>
      </c>
      <c r="K12">
        <f t="shared" si="4"/>
        <v>5679.6034830129547</v>
      </c>
      <c r="L12">
        <f t="shared" si="4"/>
        <v>5683.8555509961661</v>
      </c>
      <c r="M12">
        <f t="shared" si="4"/>
        <v>5688.1076189793766</v>
      </c>
      <c r="N12">
        <f t="shared" si="4"/>
        <v>5692.3596869625853</v>
      </c>
      <c r="O12">
        <f t="shared" si="4"/>
        <v>5696.6117549457977</v>
      </c>
      <c r="P12">
        <f t="shared" si="4"/>
        <v>5700.8638229290091</v>
      </c>
      <c r="Q12">
        <f t="shared" si="4"/>
        <v>5705.1158909122178</v>
      </c>
      <c r="R12">
        <f t="shared" si="4"/>
        <v>5709.3679588954283</v>
      </c>
      <c r="S12">
        <f t="shared" si="4"/>
        <v>5713.6200268786397</v>
      </c>
      <c r="T12">
        <f t="shared" si="4"/>
        <v>5717.8720948618493</v>
      </c>
      <c r="U12">
        <f t="shared" si="4"/>
        <v>5764.9973754235662</v>
      </c>
      <c r="V12">
        <f t="shared" si="4"/>
        <v>5769.2814918382674</v>
      </c>
      <c r="W12">
        <f t="shared" si="4"/>
        <v>5773.5656082529695</v>
      </c>
      <c r="X12">
        <f t="shared" si="4"/>
        <v>5777.8497246676698</v>
      </c>
      <c r="Y12">
        <f t="shared" si="4"/>
        <v>5782.133841082371</v>
      </c>
      <c r="Z12">
        <f t="shared" si="4"/>
        <v>5786.4179574970722</v>
      </c>
    </row>
    <row r="13" spans="1:26">
      <c r="A13" s="70" t="s">
        <v>399</v>
      </c>
      <c r="B13" s="54" t="s">
        <v>417</v>
      </c>
      <c r="C13">
        <f>C97</f>
        <v>0</v>
      </c>
      <c r="D13">
        <f t="shared" ref="D13:Z13" si="5">D97</f>
        <v>0</v>
      </c>
      <c r="E13">
        <f t="shared" si="5"/>
        <v>0</v>
      </c>
      <c r="F13">
        <f t="shared" si="5"/>
        <v>0</v>
      </c>
      <c r="G13">
        <f t="shared" si="5"/>
        <v>193.28484159972675</v>
      </c>
      <c r="H13">
        <f t="shared" si="5"/>
        <v>266.39793833914172</v>
      </c>
      <c r="I13">
        <f t="shared" si="5"/>
        <v>275.08275454531451</v>
      </c>
      <c r="J13">
        <f t="shared" si="5"/>
        <v>8.6848162061727532</v>
      </c>
      <c r="K13">
        <f t="shared" si="5"/>
        <v>283.98017415064777</v>
      </c>
      <c r="L13">
        <f t="shared" si="5"/>
        <v>284.19277754980834</v>
      </c>
      <c r="M13">
        <f t="shared" si="5"/>
        <v>284.40538094896885</v>
      </c>
      <c r="N13">
        <f t="shared" si="5"/>
        <v>284.61798434812926</v>
      </c>
      <c r="O13">
        <f t="shared" si="5"/>
        <v>284.83058774728988</v>
      </c>
      <c r="P13">
        <f t="shared" si="5"/>
        <v>285.04319114645045</v>
      </c>
      <c r="Q13">
        <f t="shared" si="5"/>
        <v>285.25579454561091</v>
      </c>
      <c r="R13">
        <f t="shared" si="5"/>
        <v>285.46839794477143</v>
      </c>
      <c r="S13">
        <f t="shared" si="5"/>
        <v>285.681001343932</v>
      </c>
      <c r="T13">
        <f t="shared" si="5"/>
        <v>285.89360474309245</v>
      </c>
      <c r="U13">
        <f t="shared" si="5"/>
        <v>288.24986877117834</v>
      </c>
      <c r="V13">
        <f t="shared" si="5"/>
        <v>288.4640745919134</v>
      </c>
      <c r="W13">
        <f t="shared" si="5"/>
        <v>288.67828041264846</v>
      </c>
      <c r="X13">
        <f t="shared" si="5"/>
        <v>288.89248623338352</v>
      </c>
      <c r="Y13">
        <f t="shared" si="5"/>
        <v>289.10669205411858</v>
      </c>
      <c r="Z13">
        <f t="shared" si="5"/>
        <v>289.32089787485364</v>
      </c>
    </row>
    <row r="14" spans="1:26">
      <c r="A14" s="70"/>
      <c r="B14" s="78" t="s">
        <v>411</v>
      </c>
      <c r="C14">
        <f>C98</f>
        <v>0</v>
      </c>
      <c r="D14">
        <f t="shared" ref="D14:Z14" si="6">D98</f>
        <v>0</v>
      </c>
      <c r="E14">
        <f t="shared" si="6"/>
        <v>0</v>
      </c>
      <c r="F14">
        <f t="shared" si="6"/>
        <v>0</v>
      </c>
      <c r="G14">
        <f t="shared" si="6"/>
        <v>193.28484159972675</v>
      </c>
      <c r="H14">
        <f t="shared" si="6"/>
        <v>266.39793833914172</v>
      </c>
      <c r="I14">
        <f t="shared" si="6"/>
        <v>275.08275454531451</v>
      </c>
      <c r="J14">
        <f t="shared" si="6"/>
        <v>8.6848162061727532</v>
      </c>
      <c r="K14">
        <f t="shared" si="6"/>
        <v>283.98017415064777</v>
      </c>
      <c r="L14">
        <f t="shared" si="6"/>
        <v>284.19277754980834</v>
      </c>
      <c r="M14">
        <f t="shared" si="6"/>
        <v>284.40538094896885</v>
      </c>
      <c r="N14">
        <f t="shared" si="6"/>
        <v>284.61798434812926</v>
      </c>
      <c r="O14">
        <f t="shared" si="6"/>
        <v>284.83058774728988</v>
      </c>
      <c r="P14">
        <f t="shared" si="6"/>
        <v>285.04319114645045</v>
      </c>
      <c r="Q14">
        <f t="shared" si="6"/>
        <v>285.25579454561091</v>
      </c>
      <c r="R14">
        <f t="shared" si="6"/>
        <v>285.46839794477143</v>
      </c>
      <c r="S14">
        <f t="shared" si="6"/>
        <v>285.681001343932</v>
      </c>
      <c r="T14">
        <f t="shared" si="6"/>
        <v>285.89360474309245</v>
      </c>
      <c r="U14">
        <f t="shared" si="6"/>
        <v>288.24986877117834</v>
      </c>
      <c r="V14">
        <f t="shared" si="6"/>
        <v>288.4640745919134</v>
      </c>
      <c r="W14">
        <f t="shared" si="6"/>
        <v>288.67828041264846</v>
      </c>
      <c r="X14">
        <f t="shared" si="6"/>
        <v>288.89248623338352</v>
      </c>
      <c r="Y14">
        <f t="shared" si="6"/>
        <v>289.10669205411858</v>
      </c>
      <c r="Z14">
        <f t="shared" si="6"/>
        <v>289.32089787485364</v>
      </c>
    </row>
    <row r="15" spans="1:26">
      <c r="A15" s="70"/>
      <c r="B15" s="48"/>
    </row>
    <row r="16" spans="1:26">
      <c r="A16" s="5" t="s">
        <v>397</v>
      </c>
      <c r="B16" s="53"/>
    </row>
    <row r="17" spans="1:26">
      <c r="A17" s="70" t="s">
        <v>399</v>
      </c>
      <c r="B17" s="47" t="s">
        <v>95</v>
      </c>
      <c r="F17">
        <f t="shared" ref="F17:Z22" si="7">F104</f>
        <v>0</v>
      </c>
      <c r="G17">
        <f t="shared" si="7"/>
        <v>6750</v>
      </c>
      <c r="H17">
        <f t="shared" si="7"/>
        <v>9216.25</v>
      </c>
      <c r="I17">
        <f t="shared" si="7"/>
        <v>9308.4125000000004</v>
      </c>
      <c r="J17">
        <f t="shared" si="7"/>
        <v>9401.4966250000016</v>
      </c>
      <c r="K17">
        <f t="shared" si="7"/>
        <v>9495.5115912500005</v>
      </c>
      <c r="L17">
        <f t="shared" si="7"/>
        <v>9590.466707162499</v>
      </c>
      <c r="M17">
        <f t="shared" si="7"/>
        <v>9686.3713742341261</v>
      </c>
      <c r="N17">
        <f t="shared" si="7"/>
        <v>9783.235087976469</v>
      </c>
      <c r="O17">
        <f t="shared" si="7"/>
        <v>9881.0674388562329</v>
      </c>
      <c r="P17">
        <f t="shared" si="7"/>
        <v>9979.8781132447948</v>
      </c>
      <c r="Q17">
        <f t="shared" si="7"/>
        <v>10079.676894377242</v>
      </c>
      <c r="R17">
        <f t="shared" si="7"/>
        <v>10180.473663321014</v>
      </c>
      <c r="S17">
        <f t="shared" si="7"/>
        <v>10282.278399954226</v>
      </c>
      <c r="T17">
        <f t="shared" si="7"/>
        <v>10385.101183953768</v>
      </c>
      <c r="U17">
        <f t="shared" si="7"/>
        <v>10488.952195793305</v>
      </c>
      <c r="V17">
        <f t="shared" si="7"/>
        <v>10593.841717751238</v>
      </c>
      <c r="W17">
        <f t="shared" si="7"/>
        <v>10699.780134928751</v>
      </c>
      <c r="X17">
        <f t="shared" si="7"/>
        <v>10806.777936278038</v>
      </c>
      <c r="Y17">
        <f t="shared" si="7"/>
        <v>10914.845715640819</v>
      </c>
      <c r="Z17">
        <f t="shared" si="7"/>
        <v>11023.994172797227</v>
      </c>
    </row>
    <row r="18" spans="1:26">
      <c r="A18" s="70"/>
      <c r="B18" s="78" t="s">
        <v>493</v>
      </c>
      <c r="F18">
        <f t="shared" ref="F18:S18" si="8">F105</f>
        <v>0</v>
      </c>
      <c r="G18">
        <f t="shared" si="8"/>
        <v>3375</v>
      </c>
      <c r="H18">
        <f t="shared" si="8"/>
        <v>4608.125</v>
      </c>
      <c r="I18">
        <f t="shared" si="8"/>
        <v>4654.2062500000002</v>
      </c>
      <c r="J18">
        <f t="shared" si="8"/>
        <v>4700.7483125000008</v>
      </c>
      <c r="K18">
        <f t="shared" si="8"/>
        <v>4747.7557956250002</v>
      </c>
      <c r="L18">
        <f t="shared" si="8"/>
        <v>4795.2333535812495</v>
      </c>
      <c r="M18">
        <f t="shared" si="8"/>
        <v>4843.185687117063</v>
      </c>
      <c r="N18">
        <f t="shared" si="8"/>
        <v>4891.6175439882345</v>
      </c>
      <c r="O18">
        <f t="shared" si="8"/>
        <v>4940.5337194281165</v>
      </c>
      <c r="P18">
        <f t="shared" si="8"/>
        <v>4989.9390566223974</v>
      </c>
      <c r="Q18">
        <f t="shared" si="8"/>
        <v>5039.8384471886211</v>
      </c>
      <c r="R18">
        <f t="shared" si="8"/>
        <v>5090.2368316605071</v>
      </c>
      <c r="S18">
        <f t="shared" si="8"/>
        <v>5141.1391999771131</v>
      </c>
      <c r="T18">
        <f t="shared" si="7"/>
        <v>5192.5505919768839</v>
      </c>
      <c r="U18">
        <f t="shared" si="7"/>
        <v>5244.4760978966524</v>
      </c>
      <c r="V18">
        <f t="shared" si="7"/>
        <v>5296.9208588756192</v>
      </c>
      <c r="W18">
        <f t="shared" si="7"/>
        <v>5349.8900674643755</v>
      </c>
      <c r="X18">
        <f t="shared" si="7"/>
        <v>5403.3889681390192</v>
      </c>
      <c r="Y18">
        <f t="shared" si="7"/>
        <v>5457.4228578204093</v>
      </c>
      <c r="Z18">
        <f t="shared" si="7"/>
        <v>5511.9970863986136</v>
      </c>
    </row>
    <row r="19" spans="1:26">
      <c r="A19" s="70"/>
      <c r="B19" s="47" t="s">
        <v>148</v>
      </c>
      <c r="F19">
        <f t="shared" si="7"/>
        <v>0</v>
      </c>
      <c r="G19">
        <f t="shared" si="7"/>
        <v>3375</v>
      </c>
      <c r="H19">
        <f t="shared" si="7"/>
        <v>4608.125</v>
      </c>
      <c r="I19">
        <f t="shared" si="7"/>
        <v>4654.2062500000002</v>
      </c>
      <c r="J19">
        <f t="shared" si="7"/>
        <v>4700.7483125000008</v>
      </c>
      <c r="K19">
        <f t="shared" si="7"/>
        <v>4747.7557956250002</v>
      </c>
      <c r="L19">
        <f t="shared" si="7"/>
        <v>4795.2333535812495</v>
      </c>
      <c r="M19">
        <f t="shared" si="7"/>
        <v>4843.185687117063</v>
      </c>
      <c r="N19">
        <f t="shared" si="7"/>
        <v>4891.6175439882345</v>
      </c>
      <c r="O19">
        <f t="shared" si="7"/>
        <v>4940.5337194281165</v>
      </c>
      <c r="P19">
        <f t="shared" si="7"/>
        <v>4989.9390566223974</v>
      </c>
      <c r="Q19">
        <f t="shared" si="7"/>
        <v>5039.8384471886211</v>
      </c>
      <c r="R19">
        <f t="shared" si="7"/>
        <v>5090.2368316605071</v>
      </c>
      <c r="S19">
        <f t="shared" si="7"/>
        <v>5141.1391999771131</v>
      </c>
      <c r="T19">
        <f t="shared" si="7"/>
        <v>5192.5505919768839</v>
      </c>
      <c r="U19">
        <f t="shared" si="7"/>
        <v>5244.4760978966524</v>
      </c>
      <c r="V19">
        <f t="shared" si="7"/>
        <v>5296.9208588756192</v>
      </c>
      <c r="W19">
        <f t="shared" si="7"/>
        <v>5349.8900674643755</v>
      </c>
      <c r="X19">
        <f t="shared" si="7"/>
        <v>5403.3889681390192</v>
      </c>
      <c r="Y19">
        <f t="shared" si="7"/>
        <v>5457.4228578204093</v>
      </c>
      <c r="Z19">
        <f t="shared" si="7"/>
        <v>5511.9970863986136</v>
      </c>
    </row>
    <row r="20" spans="1:26">
      <c r="A20" s="70"/>
      <c r="B20" s="78" t="s">
        <v>421</v>
      </c>
      <c r="F20">
        <f t="shared" si="7"/>
        <v>0</v>
      </c>
      <c r="G20">
        <f t="shared" si="7"/>
        <v>10125</v>
      </c>
      <c r="H20">
        <f t="shared" si="7"/>
        <v>13824.375</v>
      </c>
      <c r="I20">
        <f t="shared" si="7"/>
        <v>13962.61875</v>
      </c>
      <c r="J20">
        <f t="shared" si="7"/>
        <v>14102.244937500001</v>
      </c>
      <c r="K20">
        <f t="shared" si="7"/>
        <v>14243.267386874999</v>
      </c>
      <c r="L20">
        <f t="shared" si="7"/>
        <v>14385.700060743749</v>
      </c>
      <c r="M20">
        <f t="shared" si="7"/>
        <v>14529.55706135119</v>
      </c>
      <c r="N20">
        <f t="shared" si="7"/>
        <v>14674.852631964701</v>
      </c>
      <c r="O20">
        <f t="shared" si="7"/>
        <v>14821.601158284346</v>
      </c>
      <c r="P20">
        <f t="shared" si="7"/>
        <v>14969.81716986719</v>
      </c>
      <c r="Q20">
        <f t="shared" si="7"/>
        <v>15119.515341565862</v>
      </c>
      <c r="R20">
        <f t="shared" si="7"/>
        <v>15270.71049498152</v>
      </c>
      <c r="S20">
        <f t="shared" si="7"/>
        <v>15423.417599931337</v>
      </c>
      <c r="T20">
        <f t="shared" si="7"/>
        <v>15577.651775930648</v>
      </c>
      <c r="U20">
        <f t="shared" si="7"/>
        <v>15733.428293689956</v>
      </c>
      <c r="V20">
        <f t="shared" si="7"/>
        <v>15890.762576626857</v>
      </c>
      <c r="W20">
        <f t="shared" si="7"/>
        <v>16049.670202393125</v>
      </c>
      <c r="X20">
        <f t="shared" si="7"/>
        <v>16210.166904417056</v>
      </c>
      <c r="Y20">
        <f t="shared" si="7"/>
        <v>16372.268573461224</v>
      </c>
      <c r="Z20">
        <f t="shared" si="7"/>
        <v>16535.991259195838</v>
      </c>
    </row>
    <row r="21" spans="1:26">
      <c r="A21" s="70"/>
      <c r="B21" s="47" t="s">
        <v>152</v>
      </c>
      <c r="F21">
        <f t="shared" si="7"/>
        <v>0</v>
      </c>
      <c r="G21">
        <f t="shared" si="7"/>
        <v>10125</v>
      </c>
      <c r="H21">
        <f t="shared" si="7"/>
        <v>13824.375</v>
      </c>
      <c r="I21">
        <f t="shared" si="7"/>
        <v>13962.61875</v>
      </c>
      <c r="J21">
        <f t="shared" si="7"/>
        <v>14102.244937500001</v>
      </c>
      <c r="K21">
        <f t="shared" si="7"/>
        <v>14243.267386874999</v>
      </c>
      <c r="L21">
        <f t="shared" si="7"/>
        <v>14385.700060743749</v>
      </c>
      <c r="M21">
        <f t="shared" si="7"/>
        <v>14529.55706135119</v>
      </c>
      <c r="N21">
        <f t="shared" si="7"/>
        <v>14674.852631964701</v>
      </c>
      <c r="O21">
        <f t="shared" si="7"/>
        <v>14821.601158284346</v>
      </c>
      <c r="P21">
        <f t="shared" si="7"/>
        <v>14969.81716986719</v>
      </c>
      <c r="Q21">
        <f t="shared" si="7"/>
        <v>15119.515341565862</v>
      </c>
      <c r="R21">
        <f t="shared" si="7"/>
        <v>15270.71049498152</v>
      </c>
      <c r="S21">
        <f t="shared" si="7"/>
        <v>15423.417599931337</v>
      </c>
      <c r="T21">
        <f t="shared" si="7"/>
        <v>15577.651775930648</v>
      </c>
      <c r="U21">
        <f t="shared" si="7"/>
        <v>15733.428293689956</v>
      </c>
      <c r="V21">
        <f t="shared" si="7"/>
        <v>15890.762576626857</v>
      </c>
      <c r="W21">
        <f t="shared" si="7"/>
        <v>16049.670202393125</v>
      </c>
      <c r="X21">
        <f t="shared" si="7"/>
        <v>16210.166904417056</v>
      </c>
      <c r="Y21">
        <f t="shared" si="7"/>
        <v>16372.268573461224</v>
      </c>
      <c r="Z21">
        <f t="shared" si="7"/>
        <v>16535.991259195838</v>
      </c>
    </row>
    <row r="22" spans="1:26">
      <c r="A22" s="70"/>
      <c r="B22" s="78" t="s">
        <v>426</v>
      </c>
      <c r="F22">
        <f t="shared" si="7"/>
        <v>0</v>
      </c>
      <c r="G22">
        <f t="shared" si="7"/>
        <v>16875</v>
      </c>
      <c r="H22">
        <f t="shared" si="7"/>
        <v>23040.625</v>
      </c>
      <c r="I22">
        <f t="shared" si="7"/>
        <v>23271.03125</v>
      </c>
      <c r="J22">
        <f t="shared" si="7"/>
        <v>23503.741562500003</v>
      </c>
      <c r="K22">
        <f t="shared" si="7"/>
        <v>23738.778978124999</v>
      </c>
      <c r="L22">
        <f t="shared" si="7"/>
        <v>23976.166767906248</v>
      </c>
      <c r="M22">
        <f t="shared" si="7"/>
        <v>24215.928435585316</v>
      </c>
      <c r="N22">
        <f t="shared" si="7"/>
        <v>24458.08771994117</v>
      </c>
      <c r="O22">
        <f t="shared" si="7"/>
        <v>24702.668597140579</v>
      </c>
      <c r="P22">
        <f t="shared" si="7"/>
        <v>24949.695283111985</v>
      </c>
      <c r="Q22">
        <f t="shared" si="7"/>
        <v>25199.192235943105</v>
      </c>
      <c r="R22">
        <f t="shared" si="7"/>
        <v>25451.184158302534</v>
      </c>
      <c r="S22">
        <f t="shared" si="7"/>
        <v>25705.695999885564</v>
      </c>
      <c r="T22">
        <f t="shared" si="7"/>
        <v>25962.752959884416</v>
      </c>
      <c r="U22">
        <f t="shared" si="7"/>
        <v>26222.380489483261</v>
      </c>
      <c r="V22">
        <f t="shared" si="7"/>
        <v>26484.604294378096</v>
      </c>
      <c r="W22">
        <f t="shared" si="7"/>
        <v>26749.450337321876</v>
      </c>
      <c r="X22">
        <f t="shared" si="7"/>
        <v>27016.944840695094</v>
      </c>
      <c r="Y22">
        <f t="shared" si="7"/>
        <v>27287.114289102043</v>
      </c>
      <c r="Z22">
        <f t="shared" si="7"/>
        <v>27559.985431993067</v>
      </c>
    </row>
    <row r="23" spans="1:26">
      <c r="A23" s="70"/>
      <c r="B23" s="78" t="s">
        <v>457</v>
      </c>
      <c r="F23">
        <f>F110</f>
        <v>0</v>
      </c>
      <c r="G23">
        <f t="shared" ref="G23:Z23" si="9">G110</f>
        <v>16875</v>
      </c>
      <c r="H23">
        <f t="shared" si="9"/>
        <v>23040.625</v>
      </c>
      <c r="I23">
        <f t="shared" si="9"/>
        <v>23271.03125</v>
      </c>
      <c r="J23">
        <f t="shared" si="9"/>
        <v>23503.741562500003</v>
      </c>
      <c r="K23">
        <f t="shared" si="9"/>
        <v>23738.778978124999</v>
      </c>
      <c r="L23">
        <f t="shared" si="9"/>
        <v>23976.166767906248</v>
      </c>
      <c r="M23">
        <f t="shared" si="9"/>
        <v>24215.928435585316</v>
      </c>
      <c r="N23">
        <f t="shared" si="9"/>
        <v>24458.08771994117</v>
      </c>
      <c r="O23">
        <f t="shared" si="9"/>
        <v>24702.668597140579</v>
      </c>
      <c r="P23">
        <f t="shared" si="9"/>
        <v>24949.695283111985</v>
      </c>
      <c r="Q23">
        <f t="shared" si="9"/>
        <v>25199.192235943105</v>
      </c>
      <c r="R23">
        <f t="shared" si="9"/>
        <v>25451.184158302534</v>
      </c>
      <c r="S23">
        <f t="shared" si="9"/>
        <v>25705.695999885564</v>
      </c>
      <c r="T23">
        <f t="shared" si="9"/>
        <v>25962.752959884416</v>
      </c>
      <c r="U23">
        <f t="shared" si="9"/>
        <v>26222.380489483261</v>
      </c>
      <c r="V23">
        <f t="shared" si="9"/>
        <v>26484.604294378096</v>
      </c>
      <c r="W23">
        <f t="shared" si="9"/>
        <v>26749.450337321876</v>
      </c>
      <c r="X23">
        <f t="shared" si="9"/>
        <v>27016.944840695094</v>
      </c>
      <c r="Y23">
        <f t="shared" si="9"/>
        <v>27287.114289102043</v>
      </c>
      <c r="Z23">
        <f t="shared" si="9"/>
        <v>27559.985431993067</v>
      </c>
    </row>
    <row r="24" spans="1:26">
      <c r="A24" s="70"/>
      <c r="B24" s="53"/>
    </row>
    <row r="25" spans="1:26">
      <c r="A25" s="5" t="s">
        <v>352</v>
      </c>
      <c r="B25" s="53"/>
    </row>
    <row r="26" spans="1:26">
      <c r="A26" s="70" t="s">
        <v>350</v>
      </c>
      <c r="B26" s="70" t="s">
        <v>350</v>
      </c>
      <c r="G26">
        <f>G113*0.75</f>
        <v>1925.1646875213601</v>
      </c>
      <c r="H26">
        <f t="shared" ref="H26:Z26" si="10">H113</f>
        <v>2653.3891611691356</v>
      </c>
      <c r="I26">
        <f t="shared" si="10"/>
        <v>2739.8920723097926</v>
      </c>
      <c r="J26">
        <f t="shared" si="10"/>
        <v>86.50291114065638</v>
      </c>
      <c r="K26">
        <f t="shared" si="10"/>
        <v>2828.5125657353465</v>
      </c>
      <c r="L26">
        <f t="shared" si="10"/>
        <v>2830.6301480202442</v>
      </c>
      <c r="M26">
        <f t="shared" si="10"/>
        <v>2832.7477303051428</v>
      </c>
      <c r="N26">
        <f t="shared" si="10"/>
        <v>2834.86531259004</v>
      </c>
      <c r="O26">
        <f t="shared" si="10"/>
        <v>2836.9828948749378</v>
      </c>
      <c r="P26">
        <f t="shared" si="10"/>
        <v>2839.1004771598359</v>
      </c>
      <c r="Q26">
        <f t="shared" si="10"/>
        <v>2841.2180594447327</v>
      </c>
      <c r="R26">
        <f t="shared" si="10"/>
        <v>2843.3356417296309</v>
      </c>
      <c r="S26">
        <f t="shared" si="10"/>
        <v>2845.4532240145286</v>
      </c>
      <c r="T26">
        <f t="shared" si="10"/>
        <v>2847.5708062994263</v>
      </c>
      <c r="U26">
        <f t="shared" si="10"/>
        <v>2871.0397770878426</v>
      </c>
      <c r="V26">
        <f t="shared" si="10"/>
        <v>2873.1733198867896</v>
      </c>
      <c r="W26">
        <f t="shared" si="10"/>
        <v>2875.3068626857366</v>
      </c>
      <c r="X26">
        <f t="shared" si="10"/>
        <v>2877.4404054846832</v>
      </c>
      <c r="Y26">
        <f t="shared" si="10"/>
        <v>2879.5739482836298</v>
      </c>
      <c r="Z26">
        <f t="shared" si="10"/>
        <v>2881.7074910825772</v>
      </c>
    </row>
    <row r="27" spans="1:26">
      <c r="A27" s="70" t="s">
        <v>399</v>
      </c>
      <c r="B27" s="54" t="s">
        <v>418</v>
      </c>
      <c r="F27">
        <f t="shared" ref="F27:Z27" si="11">F114</f>
        <v>0</v>
      </c>
      <c r="G27">
        <f t="shared" si="11"/>
        <v>481.29117188034002</v>
      </c>
      <c r="H27">
        <f t="shared" si="11"/>
        <v>663.3472902922839</v>
      </c>
      <c r="I27">
        <f t="shared" si="11"/>
        <v>684.97301807744816</v>
      </c>
      <c r="J27">
        <f t="shared" si="11"/>
        <v>21.625727785164095</v>
      </c>
      <c r="K27">
        <f t="shared" si="11"/>
        <v>707.12814143383662</v>
      </c>
      <c r="L27">
        <f t="shared" si="11"/>
        <v>707.65753700506104</v>
      </c>
      <c r="M27">
        <f t="shared" si="11"/>
        <v>708.1869325762857</v>
      </c>
      <c r="N27">
        <f t="shared" si="11"/>
        <v>708.71632814751001</v>
      </c>
      <c r="O27">
        <f t="shared" si="11"/>
        <v>709.24572371873444</v>
      </c>
      <c r="P27">
        <f t="shared" si="11"/>
        <v>709.77511928995898</v>
      </c>
      <c r="Q27">
        <f t="shared" si="11"/>
        <v>710.30451486118318</v>
      </c>
      <c r="R27">
        <f t="shared" si="11"/>
        <v>710.83391043240772</v>
      </c>
      <c r="S27">
        <f t="shared" si="11"/>
        <v>711.36330600363215</v>
      </c>
      <c r="T27">
        <f t="shared" si="11"/>
        <v>711.89270157485657</v>
      </c>
      <c r="U27">
        <f t="shared" si="11"/>
        <v>717.75994427196065</v>
      </c>
      <c r="V27">
        <f t="shared" si="11"/>
        <v>718.2933299716974</v>
      </c>
      <c r="W27">
        <f t="shared" si="11"/>
        <v>718.82671567143416</v>
      </c>
      <c r="X27">
        <f t="shared" si="11"/>
        <v>719.3601013711708</v>
      </c>
      <c r="Y27">
        <f t="shared" si="11"/>
        <v>719.89348707090744</v>
      </c>
      <c r="Z27">
        <f t="shared" si="11"/>
        <v>720.42687277064431</v>
      </c>
    </row>
    <row r="28" spans="1:26">
      <c r="A28" s="70"/>
      <c r="B28" s="78" t="s">
        <v>419</v>
      </c>
      <c r="F28">
        <f t="shared" ref="F28:Z28" si="12">F115</f>
        <v>0</v>
      </c>
      <c r="G28">
        <f t="shared" si="12"/>
        <v>288.77470312820395</v>
      </c>
      <c r="H28">
        <f t="shared" si="12"/>
        <v>398.00837417537031</v>
      </c>
      <c r="I28">
        <f t="shared" si="12"/>
        <v>410.98381084646888</v>
      </c>
      <c r="J28">
        <f t="shared" si="12"/>
        <v>12.975436671098457</v>
      </c>
      <c r="K28">
        <f t="shared" si="12"/>
        <v>424.27688486030195</v>
      </c>
      <c r="L28">
        <f t="shared" si="12"/>
        <v>424.5945222030366</v>
      </c>
      <c r="M28">
        <f t="shared" si="12"/>
        <v>424.91215954577143</v>
      </c>
      <c r="N28">
        <f t="shared" si="12"/>
        <v>425.22979688850597</v>
      </c>
      <c r="O28">
        <f t="shared" si="12"/>
        <v>425.54743423124063</v>
      </c>
      <c r="P28">
        <f t="shared" si="12"/>
        <v>425.8650715739754</v>
      </c>
      <c r="Q28">
        <f t="shared" si="12"/>
        <v>426.18270891670988</v>
      </c>
      <c r="R28">
        <f t="shared" si="12"/>
        <v>426.5003462594446</v>
      </c>
      <c r="S28">
        <f t="shared" si="12"/>
        <v>426.81798360217925</v>
      </c>
      <c r="T28">
        <f t="shared" si="12"/>
        <v>427.13562094491391</v>
      </c>
      <c r="U28">
        <f t="shared" si="12"/>
        <v>430.65596656317638</v>
      </c>
      <c r="V28">
        <f t="shared" si="12"/>
        <v>430.97599798301843</v>
      </c>
      <c r="W28">
        <f t="shared" si="12"/>
        <v>431.29602940286048</v>
      </c>
      <c r="X28">
        <f t="shared" si="12"/>
        <v>431.61606082270248</v>
      </c>
      <c r="Y28">
        <f t="shared" si="12"/>
        <v>431.93609224254448</v>
      </c>
      <c r="Z28">
        <f t="shared" si="12"/>
        <v>432.25612366238659</v>
      </c>
    </row>
    <row r="29" spans="1:26">
      <c r="A29" s="70"/>
      <c r="B29" s="53"/>
    </row>
    <row r="30" spans="1:26">
      <c r="A30" s="5" t="s">
        <v>353</v>
      </c>
      <c r="B30" s="53"/>
    </row>
    <row r="31" spans="1:26">
      <c r="A31" s="5"/>
      <c r="B31" s="225" t="s">
        <v>510</v>
      </c>
      <c r="C31">
        <f>(82025+61600)/2</f>
        <v>71812.5</v>
      </c>
      <c r="D31">
        <f t="shared" ref="D31:Z31" si="13">(82025+61600)/2</f>
        <v>71812.5</v>
      </c>
      <c r="E31">
        <f t="shared" si="13"/>
        <v>71812.5</v>
      </c>
      <c r="F31">
        <f t="shared" si="13"/>
        <v>71812.5</v>
      </c>
      <c r="G31">
        <f t="shared" si="13"/>
        <v>71812.5</v>
      </c>
      <c r="H31">
        <f t="shared" si="13"/>
        <v>71812.5</v>
      </c>
      <c r="I31">
        <f t="shared" si="13"/>
        <v>71812.5</v>
      </c>
      <c r="J31">
        <f t="shared" si="13"/>
        <v>71812.5</v>
      </c>
      <c r="K31">
        <f t="shared" si="13"/>
        <v>71812.5</v>
      </c>
      <c r="L31">
        <f t="shared" si="13"/>
        <v>71812.5</v>
      </c>
      <c r="M31">
        <f t="shared" si="13"/>
        <v>71812.5</v>
      </c>
      <c r="N31">
        <f t="shared" si="13"/>
        <v>71812.5</v>
      </c>
      <c r="O31">
        <f t="shared" si="13"/>
        <v>71812.5</v>
      </c>
      <c r="P31">
        <f t="shared" si="13"/>
        <v>71812.5</v>
      </c>
      <c r="Q31">
        <f t="shared" si="13"/>
        <v>71812.5</v>
      </c>
      <c r="R31">
        <f t="shared" si="13"/>
        <v>71812.5</v>
      </c>
      <c r="S31">
        <f t="shared" si="13"/>
        <v>71812.5</v>
      </c>
      <c r="T31">
        <f t="shared" si="13"/>
        <v>71812.5</v>
      </c>
      <c r="U31">
        <f t="shared" si="13"/>
        <v>71812.5</v>
      </c>
      <c r="V31">
        <f t="shared" si="13"/>
        <v>71812.5</v>
      </c>
      <c r="W31">
        <f t="shared" si="13"/>
        <v>71812.5</v>
      </c>
      <c r="X31">
        <f t="shared" si="13"/>
        <v>71812.5</v>
      </c>
      <c r="Y31">
        <f t="shared" si="13"/>
        <v>71812.5</v>
      </c>
      <c r="Z31">
        <f t="shared" si="13"/>
        <v>71812.5</v>
      </c>
    </row>
    <row r="32" spans="1:26">
      <c r="A32" s="5"/>
      <c r="B32" s="225" t="s">
        <v>511</v>
      </c>
      <c r="C32">
        <f>(7550+13750)/2</f>
        <v>10650</v>
      </c>
      <c r="D32">
        <f t="shared" ref="D32:Z32" si="14">(7550+13750)/2</f>
        <v>10650</v>
      </c>
      <c r="E32">
        <f t="shared" si="14"/>
        <v>10650</v>
      </c>
      <c r="F32">
        <f t="shared" si="14"/>
        <v>10650</v>
      </c>
      <c r="G32">
        <f t="shared" si="14"/>
        <v>10650</v>
      </c>
      <c r="H32">
        <f t="shared" si="14"/>
        <v>10650</v>
      </c>
      <c r="I32">
        <f t="shared" si="14"/>
        <v>10650</v>
      </c>
      <c r="J32">
        <f t="shared" si="14"/>
        <v>10650</v>
      </c>
      <c r="K32">
        <f t="shared" si="14"/>
        <v>10650</v>
      </c>
      <c r="L32">
        <f t="shared" si="14"/>
        <v>10650</v>
      </c>
      <c r="M32">
        <f t="shared" si="14"/>
        <v>10650</v>
      </c>
      <c r="N32">
        <f t="shared" si="14"/>
        <v>10650</v>
      </c>
      <c r="O32">
        <f t="shared" si="14"/>
        <v>10650</v>
      </c>
      <c r="P32">
        <f t="shared" si="14"/>
        <v>10650</v>
      </c>
      <c r="Q32">
        <f t="shared" si="14"/>
        <v>10650</v>
      </c>
      <c r="R32">
        <f t="shared" si="14"/>
        <v>10650</v>
      </c>
      <c r="S32">
        <f t="shared" si="14"/>
        <v>10650</v>
      </c>
      <c r="T32">
        <f t="shared" si="14"/>
        <v>10650</v>
      </c>
      <c r="U32">
        <f t="shared" si="14"/>
        <v>10650</v>
      </c>
      <c r="V32">
        <f t="shared" si="14"/>
        <v>10650</v>
      </c>
      <c r="W32">
        <f t="shared" si="14"/>
        <v>10650</v>
      </c>
      <c r="X32">
        <f t="shared" si="14"/>
        <v>10650</v>
      </c>
      <c r="Y32">
        <f t="shared" si="14"/>
        <v>10650</v>
      </c>
      <c r="Z32">
        <f t="shared" si="14"/>
        <v>10650</v>
      </c>
    </row>
    <row r="33" spans="1:26">
      <c r="A33" s="5" t="s">
        <v>563</v>
      </c>
      <c r="B33" s="225"/>
    </row>
    <row r="34" spans="1:26">
      <c r="A34" s="70" t="s">
        <v>354</v>
      </c>
      <c r="B34" s="70" t="s">
        <v>350</v>
      </c>
      <c r="C34" s="278"/>
      <c r="D34" s="278"/>
      <c r="E34" s="278">
        <f>(E31+E32)*270</f>
        <v>22264875</v>
      </c>
      <c r="F34" s="278">
        <f>(F31+F32)*180</f>
        <v>14843250</v>
      </c>
      <c r="G34" s="278"/>
      <c r="H34" s="278"/>
      <c r="I34" s="278"/>
      <c r="J34" s="278"/>
      <c r="K34" s="278"/>
      <c r="L34" s="278"/>
      <c r="M34" s="278"/>
      <c r="N34" s="278"/>
      <c r="O34" s="278"/>
      <c r="P34" s="278"/>
      <c r="Q34" s="278"/>
      <c r="R34" s="278"/>
      <c r="S34" s="278"/>
      <c r="T34" s="278"/>
      <c r="U34" s="278"/>
      <c r="V34" s="278"/>
      <c r="W34" s="278"/>
      <c r="X34" s="278"/>
      <c r="Y34" s="278"/>
      <c r="Z34" s="278"/>
    </row>
    <row r="35" spans="1:26">
      <c r="A35" s="70" t="s">
        <v>355</v>
      </c>
      <c r="B35" s="225" t="s">
        <v>350</v>
      </c>
      <c r="G35">
        <f>((G31+G32)*365)</f>
        <v>30098812.5</v>
      </c>
      <c r="H35">
        <f t="shared" ref="H35:Z35" si="15">((H31+H32)*365)</f>
        <v>30098812.5</v>
      </c>
      <c r="I35">
        <f t="shared" si="15"/>
        <v>30098812.5</v>
      </c>
      <c r="J35">
        <f t="shared" si="15"/>
        <v>30098812.5</v>
      </c>
      <c r="K35">
        <f t="shared" si="15"/>
        <v>30098812.5</v>
      </c>
      <c r="L35">
        <f t="shared" si="15"/>
        <v>30098812.5</v>
      </c>
      <c r="M35">
        <f t="shared" si="15"/>
        <v>30098812.5</v>
      </c>
      <c r="N35">
        <f t="shared" si="15"/>
        <v>30098812.5</v>
      </c>
      <c r="O35">
        <f t="shared" si="15"/>
        <v>30098812.5</v>
      </c>
      <c r="P35">
        <f t="shared" si="15"/>
        <v>30098812.5</v>
      </c>
      <c r="Q35">
        <f t="shared" si="15"/>
        <v>30098812.5</v>
      </c>
      <c r="R35">
        <f t="shared" si="15"/>
        <v>30098812.5</v>
      </c>
      <c r="S35">
        <f t="shared" si="15"/>
        <v>30098812.5</v>
      </c>
      <c r="T35">
        <f t="shared" si="15"/>
        <v>30098812.5</v>
      </c>
      <c r="U35">
        <f t="shared" si="15"/>
        <v>30098812.5</v>
      </c>
      <c r="V35">
        <f t="shared" si="15"/>
        <v>30098812.5</v>
      </c>
      <c r="W35">
        <f t="shared" si="15"/>
        <v>30098812.5</v>
      </c>
      <c r="X35">
        <f t="shared" si="15"/>
        <v>30098812.5</v>
      </c>
      <c r="Y35">
        <f t="shared" si="15"/>
        <v>30098812.5</v>
      </c>
      <c r="Z35">
        <f t="shared" si="15"/>
        <v>30098812.5</v>
      </c>
    </row>
    <row r="36" spans="1:26">
      <c r="A36" s="70"/>
      <c r="B36" s="225" t="s">
        <v>512</v>
      </c>
      <c r="C36" s="278">
        <f>0.5*C42</f>
        <v>0</v>
      </c>
      <c r="D36" s="278">
        <f>0.5*D42</f>
        <v>0</v>
      </c>
      <c r="E36" s="278">
        <f>0.5*E42</f>
        <v>0</v>
      </c>
      <c r="F36" s="278">
        <v>0</v>
      </c>
      <c r="G36" s="278">
        <f t="shared" ref="G36:Z36" si="16">0.5*G42</f>
        <v>-17115.537034318651</v>
      </c>
      <c r="H36" s="278">
        <f t="shared" si="16"/>
        <v>-23437.433493613404</v>
      </c>
      <c r="I36" s="278">
        <f t="shared" si="16"/>
        <v>-23836.997816468614</v>
      </c>
      <c r="J36" s="278">
        <f t="shared" si="16"/>
        <v>-16690.899041605211</v>
      </c>
      <c r="K36" s="278">
        <f t="shared" si="16"/>
        <v>-24408.534242399088</v>
      </c>
      <c r="L36" s="278">
        <f t="shared" si="16"/>
        <v>-24580.538763633733</v>
      </c>
      <c r="M36" s="278">
        <f t="shared" si="16"/>
        <v>-24754.20499939685</v>
      </c>
      <c r="N36" s="278">
        <f t="shared" si="16"/>
        <v>-24929.549566833717</v>
      </c>
      <c r="O36" s="278">
        <f t="shared" si="16"/>
        <v>-25106.589249261073</v>
      </c>
      <c r="P36" s="278">
        <f t="shared" si="16"/>
        <v>-25285.340997828825</v>
      </c>
      <c r="Q36" s="278">
        <f t="shared" si="16"/>
        <v>-25465.821933198375</v>
      </c>
      <c r="R36" s="278">
        <f t="shared" si="16"/>
        <v>-25648.049347237746</v>
      </c>
      <c r="S36" s="278">
        <f t="shared" si="16"/>
        <v>-25832.040704733634</v>
      </c>
      <c r="T36" s="278">
        <f t="shared" si="16"/>
        <v>-26017.813645120601</v>
      </c>
      <c r="U36" s="278">
        <f t="shared" si="16"/>
        <v>-26264.200279286164</v>
      </c>
      <c r="V36" s="278">
        <f t="shared" si="16"/>
        <v>-26453.633975753128</v>
      </c>
      <c r="W36" s="278">
        <f t="shared" si="16"/>
        <v>-26644.903238854356</v>
      </c>
      <c r="X36" s="278">
        <f t="shared" si="16"/>
        <v>-26838.026424256183</v>
      </c>
      <c r="Y36" s="278">
        <f t="shared" si="16"/>
        <v>-27033.022071181626</v>
      </c>
      <c r="Z36" s="278">
        <f t="shared" si="16"/>
        <v>-27229.908904245924</v>
      </c>
    </row>
    <row r="37" spans="1:26">
      <c r="A37" s="70"/>
      <c r="B37" s="70" t="s">
        <v>621</v>
      </c>
      <c r="C37" s="278"/>
      <c r="D37" s="278"/>
      <c r="E37" s="278"/>
      <c r="F37" s="278"/>
      <c r="G37" s="278">
        <f>G35+G36</f>
        <v>30081696.962965682</v>
      </c>
      <c r="H37" s="278">
        <f>H35+H36</f>
        <v>30075375.066506386</v>
      </c>
      <c r="I37" s="278">
        <f t="shared" ref="I37:Z37" si="17">I35+I36</f>
        <v>30074975.50218353</v>
      </c>
      <c r="J37" s="278">
        <f t="shared" si="17"/>
        <v>30082121.600958396</v>
      </c>
      <c r="K37" s="278">
        <f t="shared" si="17"/>
        <v>30074403.965757601</v>
      </c>
      <c r="L37" s="278">
        <f t="shared" si="17"/>
        <v>30074231.961236365</v>
      </c>
      <c r="M37" s="278">
        <f t="shared" si="17"/>
        <v>30074058.295000602</v>
      </c>
      <c r="N37" s="278">
        <f t="shared" si="17"/>
        <v>30073882.950433165</v>
      </c>
      <c r="O37" s="278">
        <f t="shared" si="17"/>
        <v>30073705.910750739</v>
      </c>
      <c r="P37" s="278">
        <f t="shared" si="17"/>
        <v>30073527.15900217</v>
      </c>
      <c r="Q37" s="278">
        <f t="shared" si="17"/>
        <v>30073346.678066801</v>
      </c>
      <c r="R37" s="278">
        <f t="shared" si="17"/>
        <v>30073164.450652763</v>
      </c>
      <c r="S37" s="278">
        <f t="shared" si="17"/>
        <v>30072980.459295265</v>
      </c>
      <c r="T37" s="278">
        <f t="shared" si="17"/>
        <v>30072794.686354879</v>
      </c>
      <c r="U37" s="278">
        <f t="shared" si="17"/>
        <v>30072548.299720712</v>
      </c>
      <c r="V37" s="278">
        <f t="shared" si="17"/>
        <v>30072358.866024248</v>
      </c>
      <c r="W37" s="278">
        <f t="shared" si="17"/>
        <v>30072167.596761145</v>
      </c>
      <c r="X37" s="278">
        <f t="shared" si="17"/>
        <v>30071974.473575745</v>
      </c>
      <c r="Y37" s="278">
        <f t="shared" si="17"/>
        <v>30071779.477928817</v>
      </c>
      <c r="Z37" s="278">
        <f t="shared" si="17"/>
        <v>30071582.591095753</v>
      </c>
    </row>
    <row r="38" spans="1:26">
      <c r="A38" s="70"/>
    </row>
    <row r="39" spans="1:26">
      <c r="A39" s="70"/>
      <c r="B39" s="58" t="s">
        <v>420</v>
      </c>
    </row>
    <row r="40" spans="1:26">
      <c r="B40" s="78" t="s">
        <v>488</v>
      </c>
      <c r="C40" s="278">
        <f>C7+C8+C13+C14+C22+C23+C27+C28</f>
        <v>0</v>
      </c>
      <c r="D40" s="278">
        <f t="shared" ref="D40:Z40" si="18">D7+D8+D13+D14+D22+D23+D27+D28</f>
        <v>0</v>
      </c>
      <c r="E40" s="278">
        <f t="shared" si="18"/>
        <v>0</v>
      </c>
      <c r="F40" s="278">
        <f t="shared" si="18"/>
        <v>0</v>
      </c>
      <c r="G40" s="278">
        <f>G7+G8+G13+G14+G22+G23+G27+G28</f>
        <v>54769.631668522459</v>
      </c>
      <c r="H40" s="278">
        <f t="shared" si="18"/>
        <v>75051.895058336711</v>
      </c>
      <c r="I40" s="278">
        <f t="shared" si="18"/>
        <v>76457.177058643487</v>
      </c>
      <c r="J40" s="278">
        <f t="shared" si="18"/>
        <v>47951.952625306767</v>
      </c>
      <c r="K40" s="278">
        <f t="shared" si="18"/>
        <v>78360.262530522814</v>
      </c>
      <c r="L40" s="278">
        <f t="shared" si="18"/>
        <v>78858.158625407916</v>
      </c>
      <c r="M40" s="278">
        <f t="shared" si="18"/>
        <v>79360.802476088633</v>
      </c>
      <c r="N40" s="278">
        <f t="shared" si="18"/>
        <v>79868.24156012293</v>
      </c>
      <c r="O40" s="278">
        <f t="shared" si="18"/>
        <v>80380.523829844315</v>
      </c>
      <c r="P40" s="278">
        <f t="shared" si="18"/>
        <v>80897.697717109739</v>
      </c>
      <c r="Q40" s="278">
        <f t="shared" si="18"/>
        <v>81419.812138094538</v>
      </c>
      <c r="R40" s="278">
        <f t="shared" si="18"/>
        <v>81946.916498136008</v>
      </c>
      <c r="S40" s="278">
        <f t="shared" si="18"/>
        <v>82479.060696624641</v>
      </c>
      <c r="T40" s="278">
        <f t="shared" si="18"/>
        <v>83016.295131944935</v>
      </c>
      <c r="U40" s="278">
        <f t="shared" si="18"/>
        <v>83791.792747849278</v>
      </c>
      <c r="V40" s="278">
        <f t="shared" si="18"/>
        <v>84339.53513552135</v>
      </c>
      <c r="W40" s="278">
        <f t="shared" si="18"/>
        <v>84892.521999291333</v>
      </c>
      <c r="X40" s="278">
        <f t="shared" si="18"/>
        <v>85450.805783920208</v>
      </c>
      <c r="Y40" s="278">
        <f t="shared" si="18"/>
        <v>86014.4394586165</v>
      </c>
      <c r="Z40" s="278">
        <f t="shared" si="18"/>
        <v>86583.476522280995</v>
      </c>
    </row>
    <row r="41" spans="1:26">
      <c r="B41" s="78" t="s">
        <v>489</v>
      </c>
      <c r="C41" s="278">
        <f>-C18</f>
        <v>0</v>
      </c>
      <c r="D41" s="278">
        <f t="shared" ref="D41:Z41" si="19">-D18</f>
        <v>0</v>
      </c>
      <c r="E41" s="278">
        <f t="shared" si="19"/>
        <v>0</v>
      </c>
      <c r="F41" s="278">
        <f t="shared" si="19"/>
        <v>0</v>
      </c>
      <c r="G41" s="278">
        <f t="shared" si="19"/>
        <v>-3375</v>
      </c>
      <c r="H41" s="278">
        <f t="shared" si="19"/>
        <v>-4608.125</v>
      </c>
      <c r="I41" s="278">
        <f t="shared" si="19"/>
        <v>-4654.2062500000002</v>
      </c>
      <c r="J41" s="278">
        <f t="shared" si="19"/>
        <v>-4700.7483125000008</v>
      </c>
      <c r="K41" s="278">
        <f t="shared" si="19"/>
        <v>-4747.7557956250002</v>
      </c>
      <c r="L41" s="278">
        <f t="shared" si="19"/>
        <v>-4795.2333535812495</v>
      </c>
      <c r="M41" s="278">
        <f t="shared" si="19"/>
        <v>-4843.185687117063</v>
      </c>
      <c r="N41" s="278">
        <f t="shared" si="19"/>
        <v>-4891.6175439882345</v>
      </c>
      <c r="O41" s="278">
        <f t="shared" si="19"/>
        <v>-4940.5337194281165</v>
      </c>
      <c r="P41" s="278">
        <f t="shared" si="19"/>
        <v>-4989.9390566223974</v>
      </c>
      <c r="Q41" s="278">
        <f t="shared" si="19"/>
        <v>-5039.8384471886211</v>
      </c>
      <c r="R41" s="278">
        <f t="shared" si="19"/>
        <v>-5090.2368316605071</v>
      </c>
      <c r="S41" s="278">
        <f t="shared" si="19"/>
        <v>-5141.1391999771131</v>
      </c>
      <c r="T41" s="278">
        <f t="shared" si="19"/>
        <v>-5192.5505919768839</v>
      </c>
      <c r="U41" s="278">
        <f t="shared" si="19"/>
        <v>-5244.4760978966524</v>
      </c>
      <c r="V41" s="278">
        <f t="shared" si="19"/>
        <v>-5296.9208588756192</v>
      </c>
      <c r="W41" s="278">
        <f t="shared" si="19"/>
        <v>-5349.8900674643755</v>
      </c>
      <c r="X41" s="278">
        <f t="shared" si="19"/>
        <v>-5403.3889681390192</v>
      </c>
      <c r="Y41" s="278">
        <f t="shared" si="19"/>
        <v>-5457.4228578204093</v>
      </c>
      <c r="Z41" s="278">
        <f t="shared" si="19"/>
        <v>-5511.9970863986136</v>
      </c>
    </row>
    <row r="42" spans="1:26">
      <c r="B42" s="78" t="s">
        <v>490</v>
      </c>
      <c r="C42" s="278">
        <f>-(('FG Users'!C7+'FG Users'!C13+'FG Users'!C27+'FG Users'!C22)+('FG Users'!C17))</f>
        <v>0</v>
      </c>
      <c r="D42" s="278">
        <f>-(('FG Users'!D7+'FG Users'!D13+'FG Users'!D27+'FG Users'!D22)+('FG Users'!D17))</f>
        <v>0</v>
      </c>
      <c r="E42" s="278">
        <f>-(('FG Users'!E7+'FG Users'!E13+'FG Users'!E27+'FG Users'!E22)+('FG Users'!E17))</f>
        <v>0</v>
      </c>
      <c r="F42" s="278">
        <f>-(('FG Users'!F7+'FG Users'!F13+'FG Users'!F27+'FG Users'!F22)+('FG Users'!F17))</f>
        <v>0</v>
      </c>
      <c r="G42" s="278">
        <f>-(('FG Users'!G7+'FG Users'!G13+'FG Users'!G27+'FG Users'!G22)+('FG Users'!G17))</f>
        <v>-34231.074068637303</v>
      </c>
      <c r="H42" s="278">
        <f>-(('FG Users'!H7+'FG Users'!H13+'FG Users'!H27+'FG Users'!H22)+('FG Users'!H17))</f>
        <v>-46874.866987226807</v>
      </c>
      <c r="I42" s="278">
        <f>-(('FG Users'!I7+'FG Users'!I13+'FG Users'!I27+'FG Users'!I22)+('FG Users'!I17))</f>
        <v>-47673.995632937229</v>
      </c>
      <c r="J42" s="278">
        <f>-(('FG Users'!J7+'FG Users'!J13+'FG Users'!J27+'FG Users'!J22)+('FG Users'!J17))</f>
        <v>-33381.798083210422</v>
      </c>
      <c r="K42" s="278">
        <f>-(('FG Users'!K7+'FG Users'!K13+'FG Users'!K27+'FG Users'!K22)+('FG Users'!K17))</f>
        <v>-48817.068484798176</v>
      </c>
      <c r="L42" s="278">
        <f>-(('FG Users'!L7+'FG Users'!L13+'FG Users'!L27+'FG Users'!L22)+('FG Users'!L17))</f>
        <v>-49161.077527267465</v>
      </c>
      <c r="M42" s="278">
        <f>-(('FG Users'!M7+'FG Users'!M13+'FG Users'!M27+'FG Users'!M22)+('FG Users'!M17))</f>
        <v>-49508.409998793701</v>
      </c>
      <c r="N42" s="278">
        <f>-(('FG Users'!N7+'FG Users'!N13+'FG Users'!N27+'FG Users'!N22)+('FG Users'!N17))</f>
        <v>-49859.099133667434</v>
      </c>
      <c r="O42" s="278">
        <f>-(('FG Users'!O7+'FG Users'!O13+'FG Users'!O27+'FG Users'!O22)+('FG Users'!O17))</f>
        <v>-50213.178498522146</v>
      </c>
      <c r="P42" s="278">
        <f>-(('FG Users'!P7+'FG Users'!P13+'FG Users'!P27+'FG Users'!P22)+('FG Users'!P17))</f>
        <v>-50570.681995657651</v>
      </c>
      <c r="Q42" s="278">
        <f>-(('FG Users'!Q7+'FG Users'!Q13+'FG Users'!Q27+'FG Users'!Q22)+('FG Users'!Q17))</f>
        <v>-50931.643866396749</v>
      </c>
      <c r="R42" s="278">
        <f>-(('FG Users'!R7+'FG Users'!R13+'FG Users'!R27+'FG Users'!R22)+('FG Users'!R17))</f>
        <v>-51296.098694475491</v>
      </c>
      <c r="S42" s="278">
        <f>-(('FG Users'!S7+'FG Users'!S13+'FG Users'!S27+'FG Users'!S22)+('FG Users'!S17))</f>
        <v>-51664.081409467268</v>
      </c>
      <c r="T42" s="278">
        <f>-(('FG Users'!T7+'FG Users'!T13+'FG Users'!T27+'FG Users'!T22)+('FG Users'!T17))</f>
        <v>-52035.627290241202</v>
      </c>
      <c r="U42" s="278">
        <f>-(('FG Users'!U7+'FG Users'!U13+'FG Users'!U27+'FG Users'!U22)+('FG Users'!U17))</f>
        <v>-52528.400558572328</v>
      </c>
      <c r="V42" s="278">
        <f>-(('FG Users'!V7+'FG Users'!V13+'FG Users'!V27+'FG Users'!V22)+('FG Users'!V17))</f>
        <v>-52907.267951506255</v>
      </c>
      <c r="W42" s="278">
        <f>-(('FG Users'!W7+'FG Users'!W13+'FG Users'!W27+'FG Users'!W22)+('FG Users'!W17))</f>
        <v>-53289.806477708713</v>
      </c>
      <c r="X42" s="278">
        <f>-(('FG Users'!X7+'FG Users'!X13+'FG Users'!X27+'FG Users'!X22)+('FG Users'!X17))</f>
        <v>-53676.052848512365</v>
      </c>
      <c r="Y42" s="278">
        <f>-(('FG Users'!Y7+'FG Users'!Y13+'FG Users'!Y27+'FG Users'!Y22)+('FG Users'!Y17))</f>
        <v>-54066.044142363251</v>
      </c>
      <c r="Z42" s="278">
        <f>-(('FG Users'!Z7+'FG Users'!Z13+'FG Users'!Z27+'FG Users'!Z22)+('FG Users'!Z17))</f>
        <v>-54459.817808491847</v>
      </c>
    </row>
    <row r="43" spans="1:26">
      <c r="B43" s="78" t="s">
        <v>491</v>
      </c>
      <c r="C43" s="278">
        <f>-('Mode Operating Assumptions'!$C$27*('FG Users'!C7+'FG Users'!C13+'FG Users'!C27+'FG Users'!C22)+'Mode Operating Assumptions'!$C$18*('FG Users'!C17))</f>
        <v>0</v>
      </c>
      <c r="D43" s="278">
        <f>-('Mode Operating Assumptions'!$C$27*('FG Users'!D7+'FG Users'!D13+'FG Users'!D27+'FG Users'!D22)+'Mode Operating Assumptions'!$C$18*('FG Users'!D17))</f>
        <v>0</v>
      </c>
      <c r="E43" s="278">
        <f>-('Mode Operating Assumptions'!$C$27*('FG Users'!E7+'FG Users'!E13+'FG Users'!E27+'FG Users'!E22)+'Mode Operating Assumptions'!$C$18*('FG Users'!E17))</f>
        <v>0</v>
      </c>
      <c r="F43" s="278">
        <f>-('Mode Operating Assumptions'!$C$27*('FG Users'!F7+'FG Users'!F13+'FG Users'!F27+'FG Users'!F22)+'Mode Operating Assumptions'!$C$18*('FG Users'!F17))</f>
        <v>0</v>
      </c>
      <c r="G43" s="278">
        <f>-('Mode Operating Assumptions'!$C$27*('FG Users'!G7+'FG Users'!G13+'FG Users'!G27+'FG Users'!G22)+'Mode Operating Assumptions'!$C$18*('FG Users'!G17))</f>
        <v>-190709.48144614245</v>
      </c>
      <c r="H43" s="278">
        <f>-('Mode Operating Assumptions'!$C$27*('FG Users'!H7+'FG Users'!H13+'FG Users'!H27+'FG Users'!H22)+'Mode Operating Assumptions'!$C$18*('FG Users'!H17))</f>
        <v>-261278.09791697425</v>
      </c>
      <c r="I43" s="278">
        <f>-('Mode Operating Assumptions'!$C$27*('FG Users'!I7+'FG Users'!I13+'FG Users'!I27+'FG Users'!I22)+'Mode Operating Assumptions'!$C$18*('FG Users'!I17))</f>
        <v>-266038.34873909201</v>
      </c>
      <c r="J43" s="278">
        <f>-('Mode Operating Assumptions'!$C$27*('FG Users'!J7+'FG Users'!J13+'FG Users'!J27+'FG Users'!J22)+'Mode Operating Assumptions'!$C$18*('FG Users'!J17))</f>
        <v>-172700.63843711774</v>
      </c>
      <c r="K43" s="278">
        <f>-('Mode Operating Assumptions'!$C$27*('FG Users'!K7+'FG Users'!K13+'FG Users'!K27+'FG Users'!K22)+'Mode Operating Assumptions'!$C$18*('FG Users'!K17))</f>
        <v>-272587.08555640065</v>
      </c>
      <c r="L43" s="278">
        <f>-('Mode Operating Assumptions'!$C$27*('FG Users'!L7+'FG Users'!L13+'FG Users'!L27+'FG Users'!L22)+'Mode Operating Assumptions'!$C$18*('FG Users'!L17))</f>
        <v>-274375.90573650313</v>
      </c>
      <c r="M43" s="278">
        <f>-('Mode Operating Assumptions'!$C$27*('FG Users'!M7+'FG Users'!M13+'FG Users'!M27+'FG Users'!M22)+'Mode Operating Assumptions'!$C$18*('FG Users'!M17))</f>
        <v>-276181.85581951629</v>
      </c>
      <c r="N43" s="278">
        <f>-('Mode Operating Assumptions'!$C$27*('FG Users'!N7+'FG Users'!N13+'FG Users'!N27+'FG Users'!N22)+'Mode Operating Assumptions'!$C$18*('FG Users'!N17))</f>
        <v>-278005.10710446915</v>
      </c>
      <c r="O43" s="278">
        <f>-('Mode Operating Assumptions'!$C$27*('FG Users'!O7+'FG Users'!O13+'FG Users'!O27+'FG Users'!O22)+'Mode Operating Assumptions'!$C$18*('FG Users'!O17))</f>
        <v>-279845.83260338107</v>
      </c>
      <c r="P43" s="278">
        <f>-('Mode Operating Assumptions'!$C$27*('FG Users'!P7+'FG Users'!P13+'FG Users'!P27+'FG Users'!P22)+'Mode Operating Assumptions'!$C$18*('FG Users'!P17))</f>
        <v>-281704.20705839177</v>
      </c>
      <c r="Q43" s="278">
        <f>-('Mode Operating Assumptions'!$C$27*('FG Users'!Q7+'FG Users'!Q13+'FG Users'!Q27+'FG Users'!Q22)+'Mode Operating Assumptions'!$C$18*('FG Users'!Q17))</f>
        <v>-283580.40695906203</v>
      </c>
      <c r="R43" s="278">
        <f>-('Mode Operating Assumptions'!$C$27*('FG Users'!R7+'FG Users'!R13+'FG Users'!R27+'FG Users'!R22)+'Mode Operating Assumptions'!$C$18*('FG Users'!R17))</f>
        <v>-285474.61055984872</v>
      </c>
      <c r="S43" s="278">
        <f>-('Mode Operating Assumptions'!$C$27*('FG Users'!S7+'FG Users'!S13+'FG Users'!S27+'FG Users'!S22)+'Mode Operating Assumptions'!$C$18*('FG Users'!S17))</f>
        <v>-287386.99789775291</v>
      </c>
      <c r="T43" s="278">
        <f>-('Mode Operating Assumptions'!$C$27*('FG Users'!T7+'FG Users'!T13+'FG Users'!T27+'FG Users'!T22)+'Mode Operating Assumptions'!$C$18*('FG Users'!T17))</f>
        <v>-289317.75081014558</v>
      </c>
      <c r="U43" s="278">
        <f>-('Mode Operating Assumptions'!$C$27*('FG Users'!U7+'FG Users'!U13+'FG Users'!U27+'FG Users'!U22)+'Mode Operating Assumptions'!$C$18*('FG Users'!U17))</f>
        <v>-292031.63878853369</v>
      </c>
      <c r="V43" s="278">
        <f>-('Mode Operating Assumptions'!$C$27*('FG Users'!V7+'FG Users'!V13+'FG Users'!V27+'FG Users'!V22)+'Mode Operating Assumptions'!$C$18*('FG Users'!V17))</f>
        <v>-294000.2471941823</v>
      </c>
      <c r="W43" s="278">
        <f>-('Mode Operating Assumptions'!$C$27*('FG Users'!W7+'FG Users'!W13+'FG Users'!W27+'FG Users'!W22)+'Mode Operating Assumptions'!$C$18*('FG Users'!W17))</f>
        <v>-295987.77766959224</v>
      </c>
      <c r="X43" s="278">
        <f>-('Mode Operating Assumptions'!$C$27*('FG Users'!X7+'FG Users'!X13+'FG Users'!X27+'FG Users'!X22)+'Mode Operating Assumptions'!$C$18*('FG Users'!X17))</f>
        <v>-297994.41943546088</v>
      </c>
      <c r="Y43" s="278">
        <f>-('Mode Operating Assumptions'!$C$27*('FG Users'!Y7+'FG Users'!Y13+'FG Users'!Y27+'FG Users'!Y22)+'Mode Operating Assumptions'!$C$18*('FG Users'!Y17))</f>
        <v>-300020.36360469286</v>
      </c>
      <c r="Z43" s="278">
        <f>-('Mode Operating Assumptions'!$C$27*('FG Users'!Z7+'FG Users'!Z13+'FG Users'!Z27+'FG Users'!Z22)+'Mode Operating Assumptions'!$C$18*('FG Users'!Z17))</f>
        <v>-302065.80320132209</v>
      </c>
    </row>
    <row r="44" spans="1:26">
      <c r="A44" s="70"/>
      <c r="B44" s="54" t="s">
        <v>492</v>
      </c>
      <c r="C44" s="227">
        <f>-(C43*'Mode Operating Assumptions'!$C$8/'Mode Operating Assumptions'!C11)</f>
        <v>0</v>
      </c>
      <c r="D44" s="227">
        <f>-(D43*'Mode Operating Assumptions'!$C$8/'Mode Operating Assumptions'!D11)</f>
        <v>0</v>
      </c>
      <c r="E44" s="227">
        <f>-(E43*'Mode Operating Assumptions'!$C$8/'Mode Operating Assumptions'!E11)</f>
        <v>0</v>
      </c>
      <c r="F44" s="227">
        <f>-(F43*'Mode Operating Assumptions'!$C$8/'Mode Operating Assumptions'!G11)</f>
        <v>0</v>
      </c>
      <c r="G44" s="227">
        <f>-(G43*'Mode Operating Assumptions'!$C$8/'Mode Operating Assumptions'!H11)</f>
        <v>30769.601426337726</v>
      </c>
      <c r="H44" s="227">
        <f>-(H43*'Mode Operating Assumptions'!$C$8/'Mode Operating Assumptions'!I11)</f>
        <v>41283.847085231464</v>
      </c>
      <c r="I44" s="227">
        <f>-(I43*'Mode Operating Assumptions'!$C$8/'Mode Operating Assumptions'!J11)</f>
        <v>41184.577965370059</v>
      </c>
      <c r="J44" s="227">
        <f>-(J43*'Mode Operating Assumptions'!$C$8/'Mode Operating Assumptions'!K11)</f>
        <v>26204.492107440168</v>
      </c>
      <c r="K44" s="227">
        <f>-(K43*'Mode Operating Assumptions'!$C$8/'Mode Operating Assumptions'!L11)</f>
        <v>41338.72138342449</v>
      </c>
      <c r="L44" s="227">
        <f>-(L43*'Mode Operating Assumptions'!$C$8/'Mode Operating Assumptions'!M11)</f>
        <v>41587.979016756137</v>
      </c>
      <c r="M44" s="227">
        <f>-(M43*'Mode Operating Assumptions'!$C$8/'Mode Operating Assumptions'!N11)</f>
        <v>41839.567999438332</v>
      </c>
      <c r="N44" s="227">
        <f>-(N43*'Mode Operating Assumptions'!$C$8/'Mode Operating Assumptions'!O11)</f>
        <v>42093.510570521503</v>
      </c>
      <c r="O44" s="227">
        <f>-(O43*'Mode Operating Assumptions'!$C$8/'Mode Operating Assumptions'!P11)</f>
        <v>42349.829181280635</v>
      </c>
      <c r="P44" s="227">
        <f>-(P43*'Mode Operating Assumptions'!$C$8/'Mode Operating Assumptions'!Q11)</f>
        <v>42608.546497245814</v>
      </c>
      <c r="Q44" s="227">
        <f>-(Q43*'Mode Operating Assumptions'!$C$8/'Mode Operating Assumptions'!R11)</f>
        <v>42869.685400252114</v>
      </c>
      <c r="R44" s="227">
        <f>-(R43*'Mode Operating Assumptions'!$C$8/'Mode Operating Assumptions'!S11)</f>
        <v>43133.268990509379</v>
      </c>
      <c r="S44" s="227">
        <f>-(S43*'Mode Operating Assumptions'!$C$8/'Mode Operating Assumptions'!T11)</f>
        <v>43399.320588691546</v>
      </c>
      <c r="T44" s="227">
        <f>-(T43*'Mode Operating Assumptions'!$C$8/'Mode Operating Assumptions'!U11)</f>
        <v>43667.863738046173</v>
      </c>
      <c r="U44" s="227">
        <f>-(U43*'Mode Operating Assumptions'!$C$8/'Mode Operating Assumptions'!V11)</f>
        <v>44054.263358972436</v>
      </c>
      <c r="V44" s="227">
        <f>-(V43*'Mode Operating Assumptions'!$C$8/'Mode Operating Assumptions'!W11)</f>
        <v>44327.886590564129</v>
      </c>
      <c r="W44" s="227">
        <f>-(W43*'Mode Operating Assumptions'!$C$8/'Mode Operating Assumptions'!X11)</f>
        <v>44604.073333129716</v>
      </c>
      <c r="X44" s="227">
        <f>-(X43*'Mode Operating Assumptions'!$C$8/'Mode Operating Assumptions'!Y11)</f>
        <v>44882.848041756093</v>
      </c>
      <c r="Y44" s="227">
        <f>-(Y43*'Mode Operating Assumptions'!$C$8/'Mode Operating Assumptions'!Z11)</f>
        <v>45164.235404958505</v>
      </c>
      <c r="Z44" s="227">
        <f>-(Z43*'Mode Operating Assumptions'!$C$8/'Mode Operating Assumptions'!AA11)</f>
        <v>45448.260346914358</v>
      </c>
    </row>
    <row r="49" spans="1:26" ht="15">
      <c r="B49" s="142" t="s">
        <v>246</v>
      </c>
    </row>
    <row r="51" spans="1:26">
      <c r="B51" s="1" t="s">
        <v>247</v>
      </c>
      <c r="C51" s="105">
        <v>667689</v>
      </c>
    </row>
    <row r="52" spans="1:26">
      <c r="B52" s="76"/>
      <c r="C52" s="148"/>
    </row>
    <row r="53" spans="1:26" ht="15">
      <c r="A53" s="142" t="s">
        <v>253</v>
      </c>
      <c r="D53" s="142" t="s">
        <v>254</v>
      </c>
    </row>
    <row r="54" spans="1:26" ht="15">
      <c r="A54" s="142"/>
      <c r="D54" s="142"/>
    </row>
    <row r="55" spans="1:26" ht="12.75" customHeight="1">
      <c r="B55" s="552" t="s">
        <v>249</v>
      </c>
      <c r="C55" s="556"/>
      <c r="D55" s="556"/>
      <c r="E55" s="557"/>
      <c r="F55" s="552" t="s">
        <v>250</v>
      </c>
      <c r="G55" s="556"/>
      <c r="H55" s="556"/>
      <c r="I55" s="557"/>
    </row>
    <row r="56" spans="1:26" ht="13.5" thickBot="1">
      <c r="A56" s="143" t="s">
        <v>247</v>
      </c>
      <c r="B56" s="144">
        <v>2005</v>
      </c>
      <c r="C56" s="145">
        <v>2010</v>
      </c>
      <c r="D56" s="145">
        <v>2020</v>
      </c>
      <c r="E56" s="146">
        <v>2030</v>
      </c>
      <c r="F56" s="144">
        <v>2005</v>
      </c>
      <c r="G56" s="145">
        <v>2010</v>
      </c>
      <c r="H56" s="145">
        <v>2020</v>
      </c>
      <c r="I56" s="146">
        <v>2030</v>
      </c>
    </row>
    <row r="57" spans="1:26">
      <c r="A57" t="s">
        <v>251</v>
      </c>
      <c r="B57" s="397">
        <v>2064.4761904761899</v>
      </c>
      <c r="C57" s="398">
        <v>2377.6282541193273</v>
      </c>
      <c r="D57" s="398">
        <v>3418.5307249453263</v>
      </c>
      <c r="E57" s="399">
        <v>3442.2377810889175</v>
      </c>
      <c r="F57" s="397">
        <v>1895.09525709524</v>
      </c>
      <c r="G57" s="398">
        <v>2181.3160190009785</v>
      </c>
      <c r="H57" s="398">
        <v>3151.0631519736653</v>
      </c>
      <c r="I57" s="399">
        <v>3176.5765894064998</v>
      </c>
    </row>
    <row r="58" spans="1:26" s="25" customFormat="1">
      <c r="D58" s="189">
        <f>(D57-C57)/10</f>
        <v>104.0902470825999</v>
      </c>
      <c r="E58" s="189">
        <f>(E57-D57)/10</f>
        <v>2.3707056143591219</v>
      </c>
      <c r="F58" s="189"/>
      <c r="G58" s="505"/>
      <c r="H58" s="189">
        <f>(H57-G57)/10</f>
        <v>96.974713297268679</v>
      </c>
      <c r="I58" s="189">
        <f>(I57-H57)/10</f>
        <v>2.5513437432834509</v>
      </c>
      <c r="L58" s="149"/>
      <c r="M58" s="149"/>
      <c r="N58" s="149"/>
      <c r="P58" s="149"/>
      <c r="Q58" s="149"/>
      <c r="R58" s="149"/>
      <c r="T58" s="149"/>
      <c r="U58" s="149"/>
      <c r="V58" s="149"/>
      <c r="X58" s="149"/>
      <c r="Y58" s="149"/>
      <c r="Z58" s="149"/>
    </row>
    <row r="59" spans="1:26" s="25" customFormat="1">
      <c r="D59" s="125">
        <f>D58/C57</f>
        <v>4.377902512819646E-2</v>
      </c>
      <c r="E59" s="125">
        <f>E58/D57</f>
        <v>6.9348670674798088E-4</v>
      </c>
      <c r="F59" s="125"/>
      <c r="G59" s="378"/>
      <c r="H59" s="125">
        <f>H58/G57</f>
        <v>4.4456975721327237E-2</v>
      </c>
      <c r="I59" s="125">
        <f>I58/H57</f>
        <v>8.0967712173125417E-4</v>
      </c>
      <c r="L59" s="149"/>
      <c r="M59" s="149"/>
      <c r="N59" s="149"/>
      <c r="P59" s="149"/>
      <c r="Q59" s="149"/>
      <c r="R59" s="149"/>
      <c r="T59" s="149"/>
      <c r="U59" s="150"/>
      <c r="V59" s="150"/>
      <c r="X59" s="149"/>
      <c r="Y59" s="149"/>
      <c r="Z59" s="149"/>
    </row>
    <row r="60" spans="1:26" s="25" customFormat="1">
      <c r="D60" s="149"/>
      <c r="E60" s="149"/>
      <c r="F60" s="149"/>
      <c r="H60" s="149"/>
      <c r="I60" s="149"/>
      <c r="J60" s="149"/>
      <c r="L60" s="149"/>
      <c r="M60" s="149"/>
      <c r="N60" s="149"/>
      <c r="P60" s="149"/>
      <c r="Q60" s="149"/>
      <c r="R60" s="149"/>
      <c r="T60" s="149"/>
      <c r="U60" s="149"/>
      <c r="V60" s="149"/>
      <c r="X60" s="149"/>
      <c r="Y60" s="149"/>
      <c r="Z60" s="149"/>
    </row>
    <row r="61" spans="1:26">
      <c r="C61" s="75">
        <v>2013</v>
      </c>
      <c r="D61" s="75">
        <v>2014</v>
      </c>
      <c r="E61" s="75">
        <v>2015</v>
      </c>
      <c r="F61" s="75">
        <v>2016</v>
      </c>
      <c r="G61" s="75">
        <v>2017</v>
      </c>
      <c r="H61" s="75">
        <v>2018</v>
      </c>
      <c r="I61" s="75">
        <v>2019</v>
      </c>
      <c r="J61" s="75">
        <v>2020</v>
      </c>
      <c r="K61" s="75">
        <v>2021</v>
      </c>
      <c r="L61" s="75">
        <v>2022</v>
      </c>
      <c r="M61" s="75">
        <v>2023</v>
      </c>
      <c r="N61" s="75">
        <v>2024</v>
      </c>
      <c r="O61" s="75">
        <v>2025</v>
      </c>
      <c r="P61" s="75">
        <v>2026</v>
      </c>
      <c r="Q61" s="75">
        <v>2027</v>
      </c>
      <c r="R61" s="75">
        <v>2028</v>
      </c>
      <c r="S61" s="75">
        <v>2029</v>
      </c>
      <c r="T61" s="75">
        <v>2030</v>
      </c>
      <c r="U61" s="75">
        <v>2031</v>
      </c>
      <c r="V61" s="75">
        <v>2032</v>
      </c>
      <c r="W61" s="75">
        <v>2033</v>
      </c>
      <c r="X61" s="75">
        <v>2034</v>
      </c>
      <c r="Y61" s="75">
        <v>2035</v>
      </c>
      <c r="Z61" s="75">
        <v>2036</v>
      </c>
    </row>
    <row r="62" spans="1:26">
      <c r="C62" s="75" t="s">
        <v>18</v>
      </c>
      <c r="D62" s="72" t="s">
        <v>19</v>
      </c>
      <c r="E62" s="72" t="s">
        <v>20</v>
      </c>
      <c r="F62" s="72" t="s">
        <v>21</v>
      </c>
      <c r="G62" s="72" t="s">
        <v>22</v>
      </c>
      <c r="H62" s="72" t="s">
        <v>23</v>
      </c>
      <c r="I62" s="72" t="s">
        <v>24</v>
      </c>
      <c r="J62" s="72" t="s">
        <v>25</v>
      </c>
      <c r="K62" s="72" t="s">
        <v>26</v>
      </c>
      <c r="L62" s="72" t="s">
        <v>27</v>
      </c>
      <c r="M62" s="72" t="s">
        <v>28</v>
      </c>
      <c r="N62" s="72" t="s">
        <v>29</v>
      </c>
      <c r="O62" s="72" t="s">
        <v>30</v>
      </c>
      <c r="P62" s="72" t="s">
        <v>31</v>
      </c>
      <c r="Q62" s="72" t="s">
        <v>32</v>
      </c>
      <c r="R62" s="72" t="s">
        <v>33</v>
      </c>
      <c r="S62" s="72" t="s">
        <v>34</v>
      </c>
      <c r="T62" s="72" t="s">
        <v>35</v>
      </c>
      <c r="U62" s="72" t="s">
        <v>36</v>
      </c>
      <c r="V62" s="72" t="s">
        <v>123</v>
      </c>
      <c r="W62" s="72" t="s">
        <v>242</v>
      </c>
      <c r="X62" s="72" t="s">
        <v>243</v>
      </c>
      <c r="Y62" s="72" t="s">
        <v>244</v>
      </c>
      <c r="Z62" s="72" t="s">
        <v>245</v>
      </c>
    </row>
    <row r="63" spans="1:26">
      <c r="B63" s="26" t="s">
        <v>252</v>
      </c>
      <c r="C63" s="379">
        <f t="shared" ref="C63:I63" si="20">$C$57*(1+($D$59*(C61-2010)))+$G$57*(1+($H$59*(C61-2010)))</f>
        <v>5162.1391542599122</v>
      </c>
      <c r="D63" s="379">
        <f t="shared" si="20"/>
        <v>5363.2041146397805</v>
      </c>
      <c r="E63" s="379">
        <f t="shared" si="20"/>
        <v>5564.2690750196489</v>
      </c>
      <c r="F63" s="379">
        <f t="shared" si="20"/>
        <v>5765.3340353995172</v>
      </c>
      <c r="G63" s="379">
        <f t="shared" si="20"/>
        <v>5966.3989957793856</v>
      </c>
      <c r="H63" s="379">
        <f t="shared" si="20"/>
        <v>6167.4639561592539</v>
      </c>
      <c r="I63" s="379">
        <f t="shared" si="20"/>
        <v>6368.5289165391232</v>
      </c>
      <c r="J63" s="147">
        <f>H58+D58</f>
        <v>201.06496037986858</v>
      </c>
      <c r="K63" s="379">
        <f t="shared" ref="K63:S63" si="21">$D$57*(1+($E$59*(K61-2020)))+$H$57*(1+($I$59*(K61-2020)))</f>
        <v>6574.5159262766338</v>
      </c>
      <c r="L63" s="379">
        <f t="shared" si="21"/>
        <v>6579.4379756342769</v>
      </c>
      <c r="M63" s="379">
        <f t="shared" si="21"/>
        <v>6584.36002499192</v>
      </c>
      <c r="N63" s="379">
        <f t="shared" si="21"/>
        <v>6589.2820743495613</v>
      </c>
      <c r="O63" s="379">
        <f t="shared" si="21"/>
        <v>6594.2041237072044</v>
      </c>
      <c r="P63" s="379">
        <f t="shared" si="21"/>
        <v>6599.1261730648475</v>
      </c>
      <c r="Q63" s="379">
        <f t="shared" si="21"/>
        <v>6604.0482224224888</v>
      </c>
      <c r="R63" s="379">
        <f t="shared" si="21"/>
        <v>6608.970271780132</v>
      </c>
      <c r="S63" s="379">
        <f t="shared" si="21"/>
        <v>6613.8923211377751</v>
      </c>
      <c r="T63" s="379">
        <f>I57+E57</f>
        <v>6618.8143704954173</v>
      </c>
      <c r="U63" s="379">
        <f t="shared" ref="U63:Z63" si="22">$E$57*(1+($E$59*(U61-2020)))+$I$57*(1+($I$59*(U61-2020)))</f>
        <v>6673.3649933531415</v>
      </c>
      <c r="V63" s="379">
        <f t="shared" si="22"/>
        <v>6678.324140885662</v>
      </c>
      <c r="W63" s="379">
        <f t="shared" si="22"/>
        <v>6683.2832884181826</v>
      </c>
      <c r="X63" s="379">
        <f t="shared" si="22"/>
        <v>6688.2424359507022</v>
      </c>
      <c r="Y63" s="379">
        <f t="shared" si="22"/>
        <v>6693.2015834832218</v>
      </c>
      <c r="Z63" s="379">
        <f t="shared" si="22"/>
        <v>6698.1607310157433</v>
      </c>
    </row>
    <row r="64" spans="1:26">
      <c r="B64" s="26"/>
      <c r="C64" s="379"/>
      <c r="D64" s="34"/>
      <c r="E64" s="34"/>
      <c r="F64" s="34"/>
      <c r="G64" s="34"/>
      <c r="H64" s="34"/>
      <c r="I64" s="34"/>
      <c r="J64" s="34"/>
      <c r="K64" s="34"/>
      <c r="L64" s="34"/>
      <c r="M64" s="34"/>
      <c r="N64" s="34"/>
      <c r="O64" s="34"/>
      <c r="P64" s="34"/>
      <c r="Q64" s="34"/>
      <c r="R64" s="34"/>
      <c r="S64" s="34"/>
      <c r="T64" s="34"/>
      <c r="U64" s="34"/>
      <c r="V64" s="34"/>
      <c r="W64" s="34"/>
      <c r="X64" s="34"/>
      <c r="Y64" s="34"/>
      <c r="Z64" s="34"/>
    </row>
    <row r="65" spans="1:26" s="25" customFormat="1">
      <c r="A65" s="228" t="s">
        <v>391</v>
      </c>
      <c r="D65" s="149"/>
      <c r="E65" s="149"/>
      <c r="F65" s="149"/>
      <c r="H65" s="149"/>
      <c r="I65" s="149"/>
      <c r="J65" s="149"/>
      <c r="L65" s="149"/>
      <c r="M65" s="149"/>
      <c r="N65" s="149"/>
      <c r="P65" s="149"/>
      <c r="Q65" s="149"/>
      <c r="R65" s="149"/>
      <c r="T65" s="149"/>
      <c r="U65" s="150"/>
      <c r="V65" s="150"/>
      <c r="X65" s="149"/>
      <c r="Y65" s="149"/>
      <c r="Z65" s="149"/>
    </row>
    <row r="66" spans="1:26" s="155" customFormat="1">
      <c r="A66" s="154" t="s">
        <v>274</v>
      </c>
      <c r="B66" s="154" t="s">
        <v>256</v>
      </c>
      <c r="C66" s="154" t="s">
        <v>257</v>
      </c>
      <c r="D66" s="154" t="s">
        <v>258</v>
      </c>
      <c r="E66" s="154" t="s">
        <v>259</v>
      </c>
      <c r="F66" s="154" t="s">
        <v>260</v>
      </c>
      <c r="G66" s="154" t="s">
        <v>261</v>
      </c>
      <c r="H66" s="154" t="s">
        <v>262</v>
      </c>
      <c r="I66" s="154" t="s">
        <v>263</v>
      </c>
      <c r="J66" s="154" t="s">
        <v>264</v>
      </c>
      <c r="K66" s="154" t="s">
        <v>265</v>
      </c>
      <c r="L66" s="154" t="s">
        <v>266</v>
      </c>
      <c r="M66" s="154" t="s">
        <v>267</v>
      </c>
      <c r="N66" s="154" t="s">
        <v>268</v>
      </c>
      <c r="O66" s="154" t="s">
        <v>269</v>
      </c>
      <c r="P66" s="154" t="s">
        <v>270</v>
      </c>
      <c r="Q66" s="154" t="s">
        <v>271</v>
      </c>
      <c r="R66" s="154" t="s">
        <v>272</v>
      </c>
    </row>
    <row r="67" spans="1:26" s="156" customFormat="1">
      <c r="A67" s="151" t="s">
        <v>255</v>
      </c>
      <c r="B67" s="152">
        <v>2156.1957200000015</v>
      </c>
      <c r="C67" s="153"/>
      <c r="D67" s="153"/>
      <c r="E67" s="153"/>
      <c r="F67" s="152">
        <v>277.28149000000002</v>
      </c>
      <c r="G67" s="152">
        <v>39.865280000000006</v>
      </c>
      <c r="H67" s="153"/>
      <c r="I67" s="152">
        <v>814.93175999999971</v>
      </c>
      <c r="J67" s="153"/>
      <c r="K67" s="153"/>
      <c r="L67" s="152">
        <v>22.525120000000001</v>
      </c>
      <c r="M67" s="152">
        <v>78.919940000000054</v>
      </c>
      <c r="N67" s="152">
        <v>22.015040000000003</v>
      </c>
      <c r="O67" s="153"/>
      <c r="P67" s="152">
        <v>25.524980000000003</v>
      </c>
      <c r="Q67" s="152">
        <v>3.2549000000000001</v>
      </c>
      <c r="R67" s="152">
        <v>871.87721000000045</v>
      </c>
    </row>
    <row r="68" spans="1:26">
      <c r="F68" s="125">
        <f t="shared" ref="F68:R68" si="23">F67/$B$67</f>
        <v>0.12859755143192653</v>
      </c>
      <c r="G68" s="125">
        <f t="shared" si="23"/>
        <v>1.8488711219591874E-2</v>
      </c>
      <c r="H68" s="125">
        <f t="shared" si="23"/>
        <v>0</v>
      </c>
      <c r="I68" s="125">
        <f t="shared" si="23"/>
        <v>0.3779488811896905</v>
      </c>
      <c r="J68" s="125">
        <f t="shared" si="23"/>
        <v>0</v>
      </c>
      <c r="K68" s="125">
        <f t="shared" si="23"/>
        <v>0</v>
      </c>
      <c r="L68" s="125">
        <f t="shared" si="23"/>
        <v>1.04466954419147E-2</v>
      </c>
      <c r="M68" s="125">
        <f t="shared" si="23"/>
        <v>3.6601473265144964E-2</v>
      </c>
      <c r="N68" s="125">
        <f t="shared" si="23"/>
        <v>1.0210130646210534E-2</v>
      </c>
      <c r="O68" s="125">
        <f t="shared" si="23"/>
        <v>0</v>
      </c>
      <c r="P68" s="125">
        <f t="shared" si="23"/>
        <v>1.1837969885219875E-2</v>
      </c>
      <c r="Q68" s="125">
        <f t="shared" si="23"/>
        <v>1.5095568411572571E-3</v>
      </c>
      <c r="R68" s="125">
        <f t="shared" si="23"/>
        <v>0.4043590300791432</v>
      </c>
    </row>
    <row r="69" spans="1:26">
      <c r="B69" s="26"/>
      <c r="C69" s="379"/>
      <c r="D69" s="34"/>
      <c r="E69" s="34"/>
      <c r="F69" s="34"/>
      <c r="G69" s="34"/>
      <c r="H69" s="34"/>
      <c r="I69" s="34"/>
      <c r="J69" s="34"/>
      <c r="K69" s="34"/>
      <c r="L69" s="34"/>
      <c r="M69" s="34"/>
      <c r="N69" s="34"/>
      <c r="O69" s="34"/>
      <c r="P69" s="34"/>
      <c r="Q69" s="34"/>
      <c r="R69" s="34"/>
      <c r="S69" s="34"/>
      <c r="T69" s="34"/>
      <c r="U69" s="34"/>
      <c r="V69" s="34"/>
      <c r="W69" s="34"/>
      <c r="X69" s="34"/>
      <c r="Y69" s="34"/>
      <c r="Z69" s="34"/>
    </row>
    <row r="70" spans="1:26">
      <c r="B70" s="26"/>
      <c r="C70" s="379"/>
      <c r="D70" s="34"/>
      <c r="E70" s="34"/>
      <c r="F70" s="34"/>
      <c r="G70" s="34"/>
      <c r="H70" s="34"/>
      <c r="I70" s="34"/>
      <c r="J70" s="34"/>
      <c r="K70" s="34"/>
      <c r="L70" s="34"/>
      <c r="M70" s="34"/>
      <c r="N70" s="34"/>
      <c r="O70" s="34"/>
      <c r="P70" s="34"/>
      <c r="Q70" s="34"/>
      <c r="R70" s="34"/>
      <c r="S70" s="34"/>
      <c r="T70" s="34"/>
      <c r="U70" s="34"/>
      <c r="V70" s="34"/>
      <c r="W70" s="34"/>
      <c r="X70" s="34"/>
      <c r="Y70" s="34"/>
      <c r="Z70" s="34"/>
    </row>
    <row r="71" spans="1:26">
      <c r="B71" s="26"/>
      <c r="C71" s="379"/>
      <c r="D71" s="34"/>
      <c r="E71" s="34"/>
      <c r="F71" s="34"/>
      <c r="G71" s="34"/>
      <c r="H71" s="34"/>
      <c r="I71" s="34"/>
      <c r="J71" s="34"/>
      <c r="K71" s="34"/>
      <c r="L71" s="34"/>
      <c r="M71" s="34"/>
      <c r="N71" s="34"/>
      <c r="O71" s="34"/>
      <c r="P71" s="34"/>
      <c r="Q71" s="34"/>
      <c r="R71" s="34"/>
      <c r="S71" s="34"/>
      <c r="T71" s="34"/>
      <c r="U71" s="34"/>
      <c r="V71" s="34"/>
      <c r="W71" s="34"/>
      <c r="X71" s="34"/>
      <c r="Y71" s="34"/>
      <c r="Z71" s="34"/>
    </row>
    <row r="73" spans="1:26" ht="15">
      <c r="B73" s="135" t="s">
        <v>273</v>
      </c>
    </row>
    <row r="74" spans="1:26">
      <c r="A74" s="130">
        <f>R68</f>
        <v>0.4043590300791432</v>
      </c>
      <c r="B74" t="s">
        <v>125</v>
      </c>
      <c r="C74" s="34">
        <f t="shared" ref="C74:C80" si="24">C$63*$A74</f>
        <v>2087.3575815501067</v>
      </c>
      <c r="D74" s="34">
        <f t="shared" ref="D74:Z75" si="25">D$63*$A74</f>
        <v>2168.6600139122115</v>
      </c>
      <c r="E74" s="34">
        <f t="shared" si="25"/>
        <v>2249.9624462743163</v>
      </c>
      <c r="F74" s="34">
        <f t="shared" si="25"/>
        <v>2331.2648786364216</v>
      </c>
      <c r="G74" s="34">
        <f t="shared" si="25"/>
        <v>2412.5673109985264</v>
      </c>
      <c r="H74" s="34">
        <f t="shared" si="25"/>
        <v>2493.8697433606312</v>
      </c>
      <c r="I74" s="34">
        <f t="shared" si="25"/>
        <v>2575.1721757227365</v>
      </c>
      <c r="J74" s="34">
        <f t="shared" si="25"/>
        <v>81.302432362105009</v>
      </c>
      <c r="K74" s="34">
        <f t="shared" si="25"/>
        <v>2658.4648831890995</v>
      </c>
      <c r="L74" s="34">
        <f t="shared" si="25"/>
        <v>2660.4551582933577</v>
      </c>
      <c r="M74" s="34">
        <f t="shared" si="25"/>
        <v>2662.4454333976159</v>
      </c>
      <c r="N74" s="34">
        <f t="shared" si="25"/>
        <v>2664.4357085018733</v>
      </c>
      <c r="O74" s="34">
        <f t="shared" si="25"/>
        <v>2666.4259836061315</v>
      </c>
      <c r="P74" s="34">
        <f t="shared" si="25"/>
        <v>2668.4162587103897</v>
      </c>
      <c r="Q74" s="34">
        <f t="shared" si="25"/>
        <v>2670.4065338146474</v>
      </c>
      <c r="R74" s="34">
        <f t="shared" si="25"/>
        <v>2672.3968089189057</v>
      </c>
      <c r="S74" s="34">
        <f t="shared" si="25"/>
        <v>2674.3870840231639</v>
      </c>
      <c r="T74" s="34">
        <f t="shared" si="25"/>
        <v>2676.3773591274216</v>
      </c>
      <c r="U74" s="34">
        <f t="shared" si="25"/>
        <v>2698.4353960763842</v>
      </c>
      <c r="V74" s="34">
        <f t="shared" si="25"/>
        <v>2700.4406721626538</v>
      </c>
      <c r="W74" s="34">
        <f t="shared" si="25"/>
        <v>2702.4459482489228</v>
      </c>
      <c r="X74" s="34">
        <f t="shared" si="25"/>
        <v>2704.4512243351919</v>
      </c>
      <c r="Y74" s="34">
        <f t="shared" si="25"/>
        <v>2706.456500421461</v>
      </c>
      <c r="Z74" s="34">
        <f t="shared" si="25"/>
        <v>2708.461776507731</v>
      </c>
    </row>
    <row r="75" spans="1:26">
      <c r="A75" s="130">
        <f>G68</f>
        <v>1.8488711219591874E-2</v>
      </c>
      <c r="B75" t="s">
        <v>222</v>
      </c>
      <c r="C75" s="34">
        <f t="shared" si="24"/>
        <v>95.441300098459749</v>
      </c>
      <c r="D75" s="34">
        <f t="shared" si="25"/>
        <v>99.158732087301814</v>
      </c>
      <c r="E75" s="34">
        <f t="shared" si="25"/>
        <v>102.87616407614388</v>
      </c>
      <c r="F75" s="34">
        <f t="shared" si="25"/>
        <v>106.59359606498595</v>
      </c>
      <c r="G75" s="34">
        <f t="shared" si="25"/>
        <v>110.31102805382801</v>
      </c>
      <c r="H75" s="34">
        <f t="shared" si="25"/>
        <v>114.02846004267008</v>
      </c>
      <c r="I75" s="34">
        <f t="shared" si="25"/>
        <v>117.74589203151217</v>
      </c>
      <c r="J75" s="34">
        <f t="shared" si="25"/>
        <v>3.7174319888420717</v>
      </c>
      <c r="K75" s="34">
        <f t="shared" si="25"/>
        <v>121.55432636953626</v>
      </c>
      <c r="L75" s="34">
        <f t="shared" si="25"/>
        <v>121.6453287187183</v>
      </c>
      <c r="M75" s="34">
        <f t="shared" si="25"/>
        <v>121.73633106790034</v>
      </c>
      <c r="N75" s="34">
        <f t="shared" si="25"/>
        <v>121.82733341708234</v>
      </c>
      <c r="O75" s="34">
        <f t="shared" si="25"/>
        <v>121.91833576626439</v>
      </c>
      <c r="P75" s="34">
        <f t="shared" si="25"/>
        <v>122.00933811544644</v>
      </c>
      <c r="Q75" s="34">
        <f t="shared" si="25"/>
        <v>122.10034046462845</v>
      </c>
      <c r="R75" s="34">
        <f t="shared" si="25"/>
        <v>122.19134281381048</v>
      </c>
      <c r="S75" s="34">
        <f t="shared" si="25"/>
        <v>122.28234516299253</v>
      </c>
      <c r="T75" s="34">
        <f t="shared" si="25"/>
        <v>122.37334751217455</v>
      </c>
      <c r="U75" s="34">
        <f t="shared" si="25"/>
        <v>123.38191822503988</v>
      </c>
      <c r="V75" s="34">
        <f t="shared" si="25"/>
        <v>123.473606471664</v>
      </c>
      <c r="W75" s="34">
        <f t="shared" si="25"/>
        <v>123.56529471828813</v>
      </c>
      <c r="X75" s="34">
        <f t="shared" si="25"/>
        <v>123.65698296491223</v>
      </c>
      <c r="Y75" s="34">
        <f t="shared" si="25"/>
        <v>123.74867121153633</v>
      </c>
      <c r="Z75" s="34">
        <f t="shared" si="25"/>
        <v>123.84035945816048</v>
      </c>
    </row>
    <row r="76" spans="1:26">
      <c r="A76" s="130">
        <f>I68+P68</f>
        <v>0.3897868510749104</v>
      </c>
      <c r="B76" s="26" t="s">
        <v>227</v>
      </c>
      <c r="C76" s="34">
        <f t="shared" si="24"/>
        <v>2012.1339657494723</v>
      </c>
      <c r="D76" s="34">
        <f t="shared" ref="D76:Z80" si="26">D$63*$A76</f>
        <v>2090.5064435174427</v>
      </c>
      <c r="E76" s="34">
        <f t="shared" si="26"/>
        <v>2168.8789212854135</v>
      </c>
      <c r="F76" s="34">
        <f t="shared" si="26"/>
        <v>2247.2513990533839</v>
      </c>
      <c r="G76" s="34">
        <f t="shared" si="26"/>
        <v>2325.6238768213543</v>
      </c>
      <c r="H76" s="34">
        <f t="shared" si="26"/>
        <v>2403.9963545893247</v>
      </c>
      <c r="I76" s="34">
        <f t="shared" si="26"/>
        <v>2482.3688323572956</v>
      </c>
      <c r="J76" s="34">
        <f t="shared" si="26"/>
        <v>78.372477767970594</v>
      </c>
      <c r="K76" s="34">
        <f t="shared" si="26"/>
        <v>2562.6598602452168</v>
      </c>
      <c r="L76" s="34">
        <f t="shared" si="26"/>
        <v>2564.5784103651677</v>
      </c>
      <c r="M76" s="34">
        <f t="shared" si="26"/>
        <v>2566.496960485119</v>
      </c>
      <c r="N76" s="34">
        <f t="shared" si="26"/>
        <v>2568.4155106050694</v>
      </c>
      <c r="O76" s="34">
        <f t="shared" si="26"/>
        <v>2570.3340607250202</v>
      </c>
      <c r="P76" s="34">
        <f t="shared" si="26"/>
        <v>2572.2526108449711</v>
      </c>
      <c r="Q76" s="34">
        <f t="shared" si="26"/>
        <v>2574.1711609649215</v>
      </c>
      <c r="R76" s="34">
        <f t="shared" si="26"/>
        <v>2576.0897110848723</v>
      </c>
      <c r="S76" s="34">
        <f t="shared" si="26"/>
        <v>2578.0082612048236</v>
      </c>
      <c r="T76" s="34">
        <f t="shared" si="26"/>
        <v>2579.926811324774</v>
      </c>
      <c r="U76" s="34">
        <f t="shared" si="26"/>
        <v>2601.1899268326615</v>
      </c>
      <c r="V76" s="34">
        <f t="shared" si="26"/>
        <v>2603.1229373333786</v>
      </c>
      <c r="W76" s="34">
        <f t="shared" si="26"/>
        <v>2605.0559478340956</v>
      </c>
      <c r="X76" s="34">
        <f t="shared" si="26"/>
        <v>2606.9889583348122</v>
      </c>
      <c r="Y76" s="34">
        <f t="shared" si="26"/>
        <v>2608.9219688355292</v>
      </c>
      <c r="Z76" s="34">
        <f t="shared" si="26"/>
        <v>2610.8549793362467</v>
      </c>
    </row>
    <row r="77" spans="1:26">
      <c r="A77" s="130">
        <f>F68</f>
        <v>0.12859755143192653</v>
      </c>
      <c r="B77" s="26" t="s">
        <v>228</v>
      </c>
      <c r="C77" s="34">
        <f t="shared" si="24"/>
        <v>663.83845538870071</v>
      </c>
      <c r="D77" s="34">
        <f t="shared" si="26"/>
        <v>689.6949169723091</v>
      </c>
      <c r="E77" s="34">
        <f t="shared" si="26"/>
        <v>715.55137855591749</v>
      </c>
      <c r="F77" s="34">
        <f t="shared" si="26"/>
        <v>741.40784013952589</v>
      </c>
      <c r="G77" s="34">
        <f t="shared" si="26"/>
        <v>767.26430172313428</v>
      </c>
      <c r="H77" s="34">
        <f t="shared" si="26"/>
        <v>793.12076330674267</v>
      </c>
      <c r="I77" s="34">
        <f t="shared" si="26"/>
        <v>818.97722489035118</v>
      </c>
      <c r="J77" s="34">
        <f t="shared" si="26"/>
        <v>25.856461583608418</v>
      </c>
      <c r="K77" s="34">
        <f t="shared" si="26"/>
        <v>845.46664996937943</v>
      </c>
      <c r="L77" s="34">
        <f t="shared" si="26"/>
        <v>846.09961346479952</v>
      </c>
      <c r="M77" s="34">
        <f t="shared" si="26"/>
        <v>846.73257696021949</v>
      </c>
      <c r="N77" s="34">
        <f t="shared" si="26"/>
        <v>847.36554045563923</v>
      </c>
      <c r="O77" s="34">
        <f t="shared" si="26"/>
        <v>847.99850395105921</v>
      </c>
      <c r="P77" s="34">
        <f t="shared" si="26"/>
        <v>848.63146744647918</v>
      </c>
      <c r="Q77" s="34">
        <f t="shared" si="26"/>
        <v>849.26443094189892</v>
      </c>
      <c r="R77" s="34">
        <f t="shared" si="26"/>
        <v>849.89739443731901</v>
      </c>
      <c r="S77" s="34">
        <f t="shared" si="26"/>
        <v>850.53035793273898</v>
      </c>
      <c r="T77" s="34">
        <f t="shared" si="26"/>
        <v>851.16332142815884</v>
      </c>
      <c r="U77" s="34">
        <f t="shared" si="26"/>
        <v>858.17839795674865</v>
      </c>
      <c r="V77" s="34">
        <f t="shared" si="26"/>
        <v>858.81613218662051</v>
      </c>
      <c r="W77" s="34">
        <f t="shared" si="26"/>
        <v>859.45386641649225</v>
      </c>
      <c r="X77" s="34">
        <f t="shared" si="26"/>
        <v>860.09160064636399</v>
      </c>
      <c r="Y77" s="34">
        <f t="shared" si="26"/>
        <v>860.72933487623573</v>
      </c>
      <c r="Z77" s="34">
        <f t="shared" si="26"/>
        <v>861.36706910610758</v>
      </c>
    </row>
    <row r="78" spans="1:26">
      <c r="A78" s="130">
        <f>L68+M68+N68</f>
        <v>5.7258299353270196E-2</v>
      </c>
      <c r="B78" t="s">
        <v>221</v>
      </c>
      <c r="C78" s="34">
        <f t="shared" si="24"/>
        <v>295.5753089978511</v>
      </c>
      <c r="D78" s="34">
        <f t="shared" si="26"/>
        <v>307.08794668873497</v>
      </c>
      <c r="E78" s="34">
        <f t="shared" si="26"/>
        <v>318.60058437961891</v>
      </c>
      <c r="F78" s="34">
        <f t="shared" si="26"/>
        <v>330.11322207050284</v>
      </c>
      <c r="G78" s="34">
        <f t="shared" si="26"/>
        <v>341.62585976138672</v>
      </c>
      <c r="H78" s="34">
        <f t="shared" si="26"/>
        <v>353.13849745227066</v>
      </c>
      <c r="I78" s="34">
        <f t="shared" si="26"/>
        <v>364.65113514315465</v>
      </c>
      <c r="J78" s="34">
        <f t="shared" si="26"/>
        <v>11.512637690883928</v>
      </c>
      <c r="K78" s="34">
        <f t="shared" si="26"/>
        <v>376.44560100959001</v>
      </c>
      <c r="L78" s="34">
        <f t="shared" si="26"/>
        <v>376.72742918514149</v>
      </c>
      <c r="M78" s="34">
        <f t="shared" si="26"/>
        <v>377.00925736069297</v>
      </c>
      <c r="N78" s="34">
        <f t="shared" si="26"/>
        <v>377.2910855362444</v>
      </c>
      <c r="O78" s="34">
        <f t="shared" si="26"/>
        <v>377.57291371179588</v>
      </c>
      <c r="P78" s="34">
        <f t="shared" si="26"/>
        <v>377.85474188734736</v>
      </c>
      <c r="Q78" s="34">
        <f t="shared" si="26"/>
        <v>378.13657006289878</v>
      </c>
      <c r="R78" s="34">
        <f t="shared" si="26"/>
        <v>378.41839823845027</v>
      </c>
      <c r="S78" s="34">
        <f t="shared" si="26"/>
        <v>378.7002264140018</v>
      </c>
      <c r="T78" s="34">
        <f t="shared" si="26"/>
        <v>378.98205458955323</v>
      </c>
      <c r="U78" s="34">
        <f t="shared" si="26"/>
        <v>382.10553048304814</v>
      </c>
      <c r="V78" s="34">
        <f t="shared" si="26"/>
        <v>382.38948283700222</v>
      </c>
      <c r="W78" s="34">
        <f t="shared" si="26"/>
        <v>382.67343519095635</v>
      </c>
      <c r="X78" s="34">
        <f t="shared" si="26"/>
        <v>382.95738754491038</v>
      </c>
      <c r="Y78" s="34">
        <f t="shared" si="26"/>
        <v>383.2413398988644</v>
      </c>
      <c r="Z78" s="34">
        <f t="shared" si="26"/>
        <v>383.52529225281859</v>
      </c>
    </row>
    <row r="79" spans="1:26">
      <c r="A79" s="130">
        <f>Q68</f>
        <v>1.5095568411572571E-3</v>
      </c>
      <c r="B79" s="26" t="s">
        <v>226</v>
      </c>
      <c r="C79" s="34">
        <f t="shared" si="24"/>
        <v>7.792542475318788</v>
      </c>
      <c r="D79" s="34">
        <f t="shared" si="26"/>
        <v>8.0960614617772304</v>
      </c>
      <c r="E79" s="34">
        <f t="shared" si="26"/>
        <v>8.3995804482356746</v>
      </c>
      <c r="F79" s="34">
        <f t="shared" si="26"/>
        <v>8.7030994346941171</v>
      </c>
      <c r="G79" s="34">
        <f t="shared" si="26"/>
        <v>9.0066184211525613</v>
      </c>
      <c r="H79" s="34">
        <f t="shared" si="26"/>
        <v>9.3101374076110037</v>
      </c>
      <c r="I79" s="34">
        <f t="shared" si="26"/>
        <v>9.6136563940694479</v>
      </c>
      <c r="J79" s="34">
        <f t="shared" si="26"/>
        <v>0.3035189864584435</v>
      </c>
      <c r="K79" s="34">
        <f t="shared" si="26"/>
        <v>9.9246054938082331</v>
      </c>
      <c r="L79" s="34">
        <f t="shared" si="26"/>
        <v>9.9320356070885776</v>
      </c>
      <c r="M79" s="34">
        <f t="shared" si="26"/>
        <v>9.9394657203689221</v>
      </c>
      <c r="N79" s="34">
        <f t="shared" si="26"/>
        <v>9.946895833649263</v>
      </c>
      <c r="O79" s="34">
        <f t="shared" si="26"/>
        <v>9.9543259469296057</v>
      </c>
      <c r="P79" s="34">
        <f t="shared" si="26"/>
        <v>9.9617560602099502</v>
      </c>
      <c r="Q79" s="34">
        <f t="shared" si="26"/>
        <v>9.9691861734902911</v>
      </c>
      <c r="R79" s="34">
        <f t="shared" si="26"/>
        <v>9.9766162867706356</v>
      </c>
      <c r="S79" s="34">
        <f t="shared" si="26"/>
        <v>9.9840464000509783</v>
      </c>
      <c r="T79" s="34">
        <f t="shared" si="26"/>
        <v>9.991476513331321</v>
      </c>
      <c r="U79" s="34">
        <f t="shared" si="26"/>
        <v>10.073823779255589</v>
      </c>
      <c r="V79" s="34">
        <f t="shared" si="26"/>
        <v>10.081309894339613</v>
      </c>
      <c r="W79" s="34">
        <f t="shared" si="26"/>
        <v>10.088796009423637</v>
      </c>
      <c r="X79" s="34">
        <f t="shared" si="26"/>
        <v>10.096282124507661</v>
      </c>
      <c r="Y79" s="34">
        <f t="shared" si="26"/>
        <v>10.103768239591684</v>
      </c>
      <c r="Z79" s="34">
        <f t="shared" si="26"/>
        <v>10.11125435467571</v>
      </c>
    </row>
    <row r="80" spans="1:26">
      <c r="A80" s="130">
        <f>SUM(A74:A79)</f>
        <v>0.99999999999999956</v>
      </c>
      <c r="B80" s="53"/>
      <c r="C80" s="34">
        <f t="shared" si="24"/>
        <v>5162.1391542599094</v>
      </c>
      <c r="D80" s="34">
        <f t="shared" si="26"/>
        <v>5363.2041146397778</v>
      </c>
      <c r="E80" s="34">
        <f t="shared" si="26"/>
        <v>5564.2690750196462</v>
      </c>
      <c r="F80" s="34">
        <f t="shared" si="26"/>
        <v>5765.3340353995145</v>
      </c>
      <c r="G80" s="34">
        <f t="shared" si="26"/>
        <v>5966.3989957793829</v>
      </c>
      <c r="H80" s="34">
        <f t="shared" si="26"/>
        <v>6167.4639561592512</v>
      </c>
      <c r="I80" s="34">
        <f t="shared" si="26"/>
        <v>6368.5289165391205</v>
      </c>
      <c r="J80" s="34">
        <f t="shared" si="26"/>
        <v>201.0649603798685</v>
      </c>
      <c r="K80" s="34">
        <f t="shared" si="26"/>
        <v>6574.515926276631</v>
      </c>
      <c r="L80" s="34">
        <f t="shared" si="26"/>
        <v>6579.4379756342742</v>
      </c>
      <c r="M80" s="34">
        <f t="shared" si="26"/>
        <v>6584.3600249919173</v>
      </c>
      <c r="N80" s="34">
        <f t="shared" si="26"/>
        <v>6589.2820743495586</v>
      </c>
      <c r="O80" s="34">
        <f t="shared" si="26"/>
        <v>6594.2041237072017</v>
      </c>
      <c r="P80" s="34">
        <f t="shared" si="26"/>
        <v>6599.1261730648448</v>
      </c>
      <c r="Q80" s="34">
        <f t="shared" si="26"/>
        <v>6604.0482224224861</v>
      </c>
      <c r="R80" s="34">
        <f t="shared" si="26"/>
        <v>6608.9702717801292</v>
      </c>
      <c r="S80" s="34">
        <f t="shared" si="26"/>
        <v>6613.8923211377723</v>
      </c>
      <c r="T80" s="34">
        <f t="shared" si="26"/>
        <v>6618.8143704954146</v>
      </c>
      <c r="U80" s="34">
        <f t="shared" si="26"/>
        <v>6673.3649933531387</v>
      </c>
      <c r="V80" s="34">
        <f t="shared" si="26"/>
        <v>6678.3241408856593</v>
      </c>
      <c r="W80" s="34">
        <f t="shared" si="26"/>
        <v>6683.2832884181798</v>
      </c>
      <c r="X80" s="34">
        <f t="shared" si="26"/>
        <v>6688.2424359506995</v>
      </c>
      <c r="Y80" s="34">
        <f t="shared" si="26"/>
        <v>6693.2015834832191</v>
      </c>
      <c r="Z80" s="34">
        <f t="shared" si="26"/>
        <v>6698.1607310157406</v>
      </c>
    </row>
    <row r="81" spans="1:26">
      <c r="B81" s="53"/>
    </row>
    <row r="82" spans="1:26">
      <c r="A82" s="26" t="s">
        <v>392</v>
      </c>
    </row>
    <row r="83" spans="1:26">
      <c r="B83" s="26" t="s">
        <v>393</v>
      </c>
    </row>
    <row r="84" spans="1:26">
      <c r="B84" s="230">
        <f>210+127+237+230</f>
        <v>804</v>
      </c>
      <c r="C84">
        <f>B84/C63</f>
        <v>0.15574938527887636</v>
      </c>
    </row>
    <row r="85" spans="1:26">
      <c r="B85" s="26" t="s">
        <v>394</v>
      </c>
    </row>
    <row r="86" spans="1:26">
      <c r="B86" s="231">
        <v>0.95</v>
      </c>
      <c r="C86">
        <f>C84*B86</f>
        <v>0.14796191601493253</v>
      </c>
    </row>
    <row r="87" spans="1:26">
      <c r="A87" s="5" t="s">
        <v>351</v>
      </c>
    </row>
    <row r="88" spans="1:26">
      <c r="A88" s="26" t="s">
        <v>350</v>
      </c>
      <c r="B88" s="26" t="s">
        <v>395</v>
      </c>
    </row>
    <row r="89" spans="1:26">
      <c r="B89" s="230">
        <v>300</v>
      </c>
      <c r="C89" s="327">
        <f>$C$86*C63*$B$89</f>
        <v>229140</v>
      </c>
      <c r="D89" s="327">
        <f t="shared" ref="D89:Z89" si="27">$C$86*D63*$B$89</f>
        <v>238064.98703438154</v>
      </c>
      <c r="E89" s="327">
        <f t="shared" si="27"/>
        <v>246989.97406876308</v>
      </c>
      <c r="F89" s="327">
        <f t="shared" si="27"/>
        <v>255914.96110314463</v>
      </c>
      <c r="G89">
        <f t="shared" si="27"/>
        <v>264839.94813752617</v>
      </c>
      <c r="H89">
        <f t="shared" si="27"/>
        <v>273764.93517190771</v>
      </c>
      <c r="I89">
        <f t="shared" si="27"/>
        <v>282689.92220628931</v>
      </c>
      <c r="J89">
        <f t="shared" si="27"/>
        <v>8924.9870343815546</v>
      </c>
      <c r="K89">
        <f t="shared" si="27"/>
        <v>291833.39199677389</v>
      </c>
      <c r="L89">
        <f t="shared" si="27"/>
        <v>292051.87475287699</v>
      </c>
      <c r="M89">
        <f t="shared" si="27"/>
        <v>292270.35750898003</v>
      </c>
      <c r="N89">
        <f t="shared" si="27"/>
        <v>292488.84026508307</v>
      </c>
      <c r="O89">
        <f t="shared" si="27"/>
        <v>292707.32302118611</v>
      </c>
      <c r="P89">
        <f t="shared" si="27"/>
        <v>292925.80577728921</v>
      </c>
      <c r="Q89">
        <f t="shared" si="27"/>
        <v>293144.28853339225</v>
      </c>
      <c r="R89">
        <f t="shared" si="27"/>
        <v>293362.77128949529</v>
      </c>
      <c r="S89">
        <f t="shared" si="27"/>
        <v>293581.25404559838</v>
      </c>
      <c r="T89">
        <f t="shared" si="27"/>
        <v>293799.73680170142</v>
      </c>
      <c r="U89">
        <f t="shared" si="27"/>
        <v>296221.16120505251</v>
      </c>
      <c r="V89">
        <f t="shared" si="27"/>
        <v>296441.29069626622</v>
      </c>
      <c r="W89">
        <f t="shared" si="27"/>
        <v>296661.42018747999</v>
      </c>
      <c r="X89">
        <f t="shared" si="27"/>
        <v>296881.54967869364</v>
      </c>
      <c r="Y89">
        <f t="shared" si="27"/>
        <v>297101.67916990735</v>
      </c>
      <c r="Z89">
        <f t="shared" si="27"/>
        <v>297321.80866112112</v>
      </c>
    </row>
    <row r="90" spans="1:26">
      <c r="A90" s="26" t="s">
        <v>396</v>
      </c>
    </row>
    <row r="91" spans="1:26">
      <c r="A91" s="229">
        <v>0.05</v>
      </c>
      <c r="B91" s="54" t="s">
        <v>409</v>
      </c>
      <c r="G91">
        <f>G89*$A$91*0.75</f>
        <v>9931.4980551572316</v>
      </c>
      <c r="H91">
        <f t="shared" ref="H91:Z91" si="28">H89*$A$91</f>
        <v>13688.246758595385</v>
      </c>
      <c r="I91">
        <f t="shared" si="28"/>
        <v>14134.496110314467</v>
      </c>
      <c r="J91">
        <f t="shared" si="28"/>
        <v>446.24935171907777</v>
      </c>
      <c r="K91">
        <f t="shared" si="28"/>
        <v>14591.669599838695</v>
      </c>
      <c r="L91">
        <f t="shared" si="28"/>
        <v>14602.593737643851</v>
      </c>
      <c r="M91">
        <f t="shared" si="28"/>
        <v>14613.517875449003</v>
      </c>
      <c r="N91">
        <f t="shared" si="28"/>
        <v>14624.442013254155</v>
      </c>
      <c r="O91">
        <f t="shared" si="28"/>
        <v>14635.366151059307</v>
      </c>
      <c r="P91">
        <f t="shared" si="28"/>
        <v>14646.29028886446</v>
      </c>
      <c r="Q91">
        <f t="shared" si="28"/>
        <v>14657.214426669612</v>
      </c>
      <c r="R91">
        <f t="shared" si="28"/>
        <v>14668.138564474764</v>
      </c>
      <c r="S91">
        <f t="shared" si="28"/>
        <v>14679.06270227992</v>
      </c>
      <c r="T91">
        <f t="shared" si="28"/>
        <v>14689.986840085072</v>
      </c>
      <c r="U91">
        <f t="shared" si="28"/>
        <v>14811.058060252626</v>
      </c>
      <c r="V91">
        <f t="shared" si="28"/>
        <v>14822.064534813311</v>
      </c>
      <c r="W91">
        <f t="shared" si="28"/>
        <v>14833.071009374</v>
      </c>
      <c r="X91">
        <f t="shared" si="28"/>
        <v>14844.077483934683</v>
      </c>
      <c r="Y91">
        <f t="shared" si="28"/>
        <v>14855.083958495368</v>
      </c>
      <c r="Z91">
        <f t="shared" si="28"/>
        <v>14866.090433056057</v>
      </c>
    </row>
    <row r="92" spans="1:26">
      <c r="A92" s="229">
        <v>0.05</v>
      </c>
      <c r="B92" s="78" t="s">
        <v>402</v>
      </c>
      <c r="G92">
        <f>G89*$A$92*0.75</f>
        <v>9931.4980551572316</v>
      </c>
      <c r="H92">
        <f t="shared" ref="H92:Z92" si="29">H89*$A$92</f>
        <v>13688.246758595385</v>
      </c>
      <c r="I92">
        <f t="shared" si="29"/>
        <v>14134.496110314467</v>
      </c>
      <c r="J92">
        <f t="shared" si="29"/>
        <v>446.24935171907777</v>
      </c>
      <c r="K92">
        <f t="shared" si="29"/>
        <v>14591.669599838695</v>
      </c>
      <c r="L92">
        <f t="shared" si="29"/>
        <v>14602.593737643851</v>
      </c>
      <c r="M92">
        <f t="shared" si="29"/>
        <v>14613.517875449003</v>
      </c>
      <c r="N92">
        <f t="shared" si="29"/>
        <v>14624.442013254155</v>
      </c>
      <c r="O92">
        <f t="shared" si="29"/>
        <v>14635.366151059307</v>
      </c>
      <c r="P92">
        <f t="shared" si="29"/>
        <v>14646.29028886446</v>
      </c>
      <c r="Q92">
        <f t="shared" si="29"/>
        <v>14657.214426669612</v>
      </c>
      <c r="R92">
        <f t="shared" si="29"/>
        <v>14668.138564474764</v>
      </c>
      <c r="S92">
        <f t="shared" si="29"/>
        <v>14679.06270227992</v>
      </c>
      <c r="T92">
        <f t="shared" si="29"/>
        <v>14689.986840085072</v>
      </c>
      <c r="U92">
        <f t="shared" si="29"/>
        <v>14811.058060252626</v>
      </c>
      <c r="V92">
        <f t="shared" si="29"/>
        <v>14822.064534813311</v>
      </c>
      <c r="W92">
        <f t="shared" si="29"/>
        <v>14833.071009374</v>
      </c>
      <c r="X92">
        <f t="shared" si="29"/>
        <v>14844.077483934683</v>
      </c>
      <c r="Y92">
        <f t="shared" si="29"/>
        <v>14855.083958495368</v>
      </c>
      <c r="Z92">
        <f t="shared" si="29"/>
        <v>14866.090433056057</v>
      </c>
    </row>
    <row r="93" spans="1:26">
      <c r="A93" s="70"/>
      <c r="B93" s="26"/>
    </row>
    <row r="94" spans="1:26">
      <c r="A94" s="5" t="s">
        <v>261</v>
      </c>
    </row>
    <row r="95" spans="1:26">
      <c r="A95" s="70" t="s">
        <v>350</v>
      </c>
      <c r="B95" s="26" t="s">
        <v>395</v>
      </c>
      <c r="C95" s="189">
        <f>C75*$C$84</f>
        <v>14.864923820551867</v>
      </c>
      <c r="D95" s="189">
        <f t="shared" ref="D95:Z95" si="30">D75*$C$84</f>
        <v>15.44391156763005</v>
      </c>
      <c r="E95" s="189">
        <f t="shared" si="30"/>
        <v>16.022899314708233</v>
      </c>
      <c r="F95" s="189">
        <f t="shared" si="30"/>
        <v>16.601887061786414</v>
      </c>
      <c r="G95" s="189">
        <f t="shared" si="30"/>
        <v>17.180874808864598</v>
      </c>
      <c r="H95" s="189">
        <f t="shared" si="30"/>
        <v>17.759862555942778</v>
      </c>
      <c r="I95" s="189">
        <f t="shared" si="30"/>
        <v>18.338850303020966</v>
      </c>
      <c r="J95" s="189">
        <f t="shared" si="30"/>
        <v>0.57898774707818346</v>
      </c>
      <c r="K95" s="189">
        <f t="shared" si="30"/>
        <v>18.932011610043183</v>
      </c>
      <c r="L95" s="189">
        <f t="shared" si="30"/>
        <v>18.946185169987221</v>
      </c>
      <c r="M95" s="189">
        <f t="shared" si="30"/>
        <v>18.960358729931254</v>
      </c>
      <c r="N95" s="189">
        <f t="shared" si="30"/>
        <v>18.974532289875285</v>
      </c>
      <c r="O95" s="189">
        <f t="shared" si="30"/>
        <v>18.988705849819326</v>
      </c>
      <c r="P95" s="189">
        <f t="shared" si="30"/>
        <v>19.002879409763363</v>
      </c>
      <c r="Q95" s="189">
        <f t="shared" si="30"/>
        <v>19.017052969707393</v>
      </c>
      <c r="R95" s="189">
        <f t="shared" si="30"/>
        <v>19.031226529651427</v>
      </c>
      <c r="S95" s="189">
        <f t="shared" si="30"/>
        <v>19.045400089595464</v>
      </c>
      <c r="T95" s="189">
        <f t="shared" si="30"/>
        <v>19.059573649539498</v>
      </c>
      <c r="U95" s="189">
        <f t="shared" si="30"/>
        <v>19.216657918078553</v>
      </c>
      <c r="V95" s="189">
        <f t="shared" si="30"/>
        <v>19.230938306127559</v>
      </c>
      <c r="W95" s="189">
        <f t="shared" si="30"/>
        <v>19.245218694176565</v>
      </c>
      <c r="X95" s="189">
        <f t="shared" si="30"/>
        <v>19.259499082225567</v>
      </c>
      <c r="Y95" s="189">
        <f t="shared" si="30"/>
        <v>19.273779470274569</v>
      </c>
      <c r="Z95" s="189">
        <f t="shared" si="30"/>
        <v>19.288059858323575</v>
      </c>
    </row>
    <row r="96" spans="1:26">
      <c r="A96" s="70"/>
      <c r="B96" s="230">
        <v>300</v>
      </c>
      <c r="C96" s="327">
        <f>C95*$B$96</f>
        <v>4459.47714616556</v>
      </c>
      <c r="D96" s="327">
        <f t="shared" ref="D96:Z96" si="31">D95*$B$96</f>
        <v>4633.1734702890153</v>
      </c>
      <c r="E96" s="327">
        <f t="shared" si="31"/>
        <v>4806.8697944124697</v>
      </c>
      <c r="F96" s="327">
        <f t="shared" si="31"/>
        <v>4980.566118535924</v>
      </c>
      <c r="G96">
        <f t="shared" si="31"/>
        <v>5154.2624426593793</v>
      </c>
      <c r="H96">
        <f t="shared" si="31"/>
        <v>5327.9587667828337</v>
      </c>
      <c r="I96">
        <f t="shared" si="31"/>
        <v>5501.6550909062898</v>
      </c>
      <c r="J96">
        <f t="shared" si="31"/>
        <v>173.69632412345504</v>
      </c>
      <c r="K96">
        <f t="shared" si="31"/>
        <v>5679.6034830129547</v>
      </c>
      <c r="L96">
        <f t="shared" si="31"/>
        <v>5683.8555509961661</v>
      </c>
      <c r="M96">
        <f t="shared" si="31"/>
        <v>5688.1076189793766</v>
      </c>
      <c r="N96">
        <f t="shared" si="31"/>
        <v>5692.3596869625853</v>
      </c>
      <c r="O96">
        <f t="shared" si="31"/>
        <v>5696.6117549457977</v>
      </c>
      <c r="P96">
        <f t="shared" si="31"/>
        <v>5700.8638229290091</v>
      </c>
      <c r="Q96">
        <f t="shared" si="31"/>
        <v>5705.1158909122178</v>
      </c>
      <c r="R96">
        <f t="shared" si="31"/>
        <v>5709.3679588954283</v>
      </c>
      <c r="S96">
        <f t="shared" si="31"/>
        <v>5713.6200268786397</v>
      </c>
      <c r="T96">
        <f t="shared" si="31"/>
        <v>5717.8720948618493</v>
      </c>
      <c r="U96">
        <f t="shared" si="31"/>
        <v>5764.9973754235662</v>
      </c>
      <c r="V96">
        <f t="shared" si="31"/>
        <v>5769.2814918382674</v>
      </c>
      <c r="W96">
        <f t="shared" si="31"/>
        <v>5773.5656082529695</v>
      </c>
      <c r="X96">
        <f t="shared" si="31"/>
        <v>5777.8497246676698</v>
      </c>
      <c r="Y96">
        <f t="shared" si="31"/>
        <v>5782.133841082371</v>
      </c>
      <c r="Z96">
        <f t="shared" si="31"/>
        <v>5786.4179574970722</v>
      </c>
    </row>
    <row r="97" spans="1:26">
      <c r="A97" s="229">
        <v>0.05</v>
      </c>
      <c r="B97" s="54" t="s">
        <v>417</v>
      </c>
      <c r="G97">
        <f>G96*$A$97*0.75</f>
        <v>193.28484159972675</v>
      </c>
      <c r="H97">
        <f t="shared" ref="H97:Z97" si="32">H96*$A$97</f>
        <v>266.39793833914172</v>
      </c>
      <c r="I97">
        <f t="shared" si="32"/>
        <v>275.08275454531451</v>
      </c>
      <c r="J97">
        <f t="shared" si="32"/>
        <v>8.6848162061727532</v>
      </c>
      <c r="K97">
        <f t="shared" si="32"/>
        <v>283.98017415064777</v>
      </c>
      <c r="L97">
        <f t="shared" si="32"/>
        <v>284.19277754980834</v>
      </c>
      <c r="M97">
        <f t="shared" si="32"/>
        <v>284.40538094896885</v>
      </c>
      <c r="N97">
        <f t="shared" si="32"/>
        <v>284.61798434812926</v>
      </c>
      <c r="O97">
        <f t="shared" si="32"/>
        <v>284.83058774728988</v>
      </c>
      <c r="P97">
        <f t="shared" si="32"/>
        <v>285.04319114645045</v>
      </c>
      <c r="Q97">
        <f t="shared" si="32"/>
        <v>285.25579454561091</v>
      </c>
      <c r="R97">
        <f t="shared" si="32"/>
        <v>285.46839794477143</v>
      </c>
      <c r="S97">
        <f t="shared" si="32"/>
        <v>285.681001343932</v>
      </c>
      <c r="T97">
        <f t="shared" si="32"/>
        <v>285.89360474309245</v>
      </c>
      <c r="U97">
        <f t="shared" si="32"/>
        <v>288.24986877117834</v>
      </c>
      <c r="V97">
        <f t="shared" si="32"/>
        <v>288.4640745919134</v>
      </c>
      <c r="W97">
        <f t="shared" si="32"/>
        <v>288.67828041264846</v>
      </c>
      <c r="X97">
        <f t="shared" si="32"/>
        <v>288.89248623338352</v>
      </c>
      <c r="Y97">
        <f t="shared" si="32"/>
        <v>289.10669205411858</v>
      </c>
      <c r="Z97">
        <f t="shared" si="32"/>
        <v>289.32089787485364</v>
      </c>
    </row>
    <row r="98" spans="1:26">
      <c r="A98" s="229">
        <v>0.05</v>
      </c>
      <c r="B98" s="78" t="s">
        <v>411</v>
      </c>
      <c r="G98">
        <f>G96*$A$98*0.75</f>
        <v>193.28484159972675</v>
      </c>
      <c r="H98">
        <f t="shared" ref="H98:Z98" si="33">H96*$A$98</f>
        <v>266.39793833914172</v>
      </c>
      <c r="I98">
        <f t="shared" si="33"/>
        <v>275.08275454531451</v>
      </c>
      <c r="J98">
        <f t="shared" si="33"/>
        <v>8.6848162061727532</v>
      </c>
      <c r="K98">
        <f t="shared" si="33"/>
        <v>283.98017415064777</v>
      </c>
      <c r="L98">
        <f t="shared" si="33"/>
        <v>284.19277754980834</v>
      </c>
      <c r="M98">
        <f t="shared" si="33"/>
        <v>284.40538094896885</v>
      </c>
      <c r="N98">
        <f t="shared" si="33"/>
        <v>284.61798434812926</v>
      </c>
      <c r="O98">
        <f t="shared" si="33"/>
        <v>284.83058774728988</v>
      </c>
      <c r="P98">
        <f t="shared" si="33"/>
        <v>285.04319114645045</v>
      </c>
      <c r="Q98">
        <f t="shared" si="33"/>
        <v>285.25579454561091</v>
      </c>
      <c r="R98">
        <f t="shared" si="33"/>
        <v>285.46839794477143</v>
      </c>
      <c r="S98">
        <f t="shared" si="33"/>
        <v>285.681001343932</v>
      </c>
      <c r="T98">
        <f t="shared" si="33"/>
        <v>285.89360474309245</v>
      </c>
      <c r="U98">
        <f t="shared" si="33"/>
        <v>288.24986877117834</v>
      </c>
      <c r="V98">
        <f t="shared" si="33"/>
        <v>288.4640745919134</v>
      </c>
      <c r="W98">
        <f t="shared" si="33"/>
        <v>288.67828041264846</v>
      </c>
      <c r="X98">
        <f t="shared" si="33"/>
        <v>288.89248623338352</v>
      </c>
      <c r="Y98">
        <f t="shared" si="33"/>
        <v>289.10669205411858</v>
      </c>
      <c r="Z98">
        <f t="shared" si="33"/>
        <v>289.32089787485364</v>
      </c>
    </row>
    <row r="99" spans="1:26">
      <c r="A99" s="70"/>
      <c r="B99" s="26"/>
    </row>
    <row r="100" spans="1:26">
      <c r="A100" s="5" t="s">
        <v>397</v>
      </c>
      <c r="B100" s="70" t="s">
        <v>440</v>
      </c>
      <c r="C100">
        <v>100</v>
      </c>
    </row>
    <row r="101" spans="1:26">
      <c r="A101" s="70"/>
      <c r="B101" s="26" t="s">
        <v>442</v>
      </c>
      <c r="C101">
        <v>2.5</v>
      </c>
      <c r="G101" s="124">
        <v>2.5</v>
      </c>
      <c r="H101" s="124">
        <f t="shared" ref="H101:Z101" si="34">G101*1.01</f>
        <v>2.5249999999999999</v>
      </c>
      <c r="I101" s="124">
        <f t="shared" si="34"/>
        <v>2.5502500000000001</v>
      </c>
      <c r="J101" s="124">
        <f t="shared" si="34"/>
        <v>2.5757525000000001</v>
      </c>
      <c r="K101" s="124">
        <f t="shared" si="34"/>
        <v>2.6015100250000001</v>
      </c>
      <c r="L101" s="124">
        <f t="shared" si="34"/>
        <v>2.62752512525</v>
      </c>
      <c r="M101" s="124">
        <f t="shared" si="34"/>
        <v>2.6538003765025002</v>
      </c>
      <c r="N101" s="124">
        <f t="shared" si="34"/>
        <v>2.6803383802675254</v>
      </c>
      <c r="O101" s="124">
        <f t="shared" si="34"/>
        <v>2.7071417640702005</v>
      </c>
      <c r="P101" s="124">
        <f t="shared" si="34"/>
        <v>2.7342131817109023</v>
      </c>
      <c r="Q101" s="124">
        <f t="shared" si="34"/>
        <v>2.7615553135280115</v>
      </c>
      <c r="R101" s="124">
        <f t="shared" si="34"/>
        <v>2.7891708666632917</v>
      </c>
      <c r="S101" s="124">
        <f t="shared" si="34"/>
        <v>2.8170625753299245</v>
      </c>
      <c r="T101" s="124">
        <f t="shared" si="34"/>
        <v>2.8452332010832238</v>
      </c>
      <c r="U101" s="124">
        <f t="shared" si="34"/>
        <v>2.8736855330940561</v>
      </c>
      <c r="V101" s="124">
        <f t="shared" si="34"/>
        <v>2.9024223884249967</v>
      </c>
      <c r="W101" s="124">
        <f t="shared" si="34"/>
        <v>2.9314466123092466</v>
      </c>
      <c r="X101" s="124">
        <f t="shared" si="34"/>
        <v>2.960761078432339</v>
      </c>
      <c r="Y101" s="124">
        <f t="shared" si="34"/>
        <v>2.9903686892166625</v>
      </c>
      <c r="Z101" s="124">
        <f t="shared" si="34"/>
        <v>3.0202723761088293</v>
      </c>
    </row>
    <row r="102" spans="1:26">
      <c r="A102" s="70"/>
      <c r="B102" s="26" t="s">
        <v>441</v>
      </c>
      <c r="C102">
        <v>365</v>
      </c>
      <c r="G102">
        <f>270*G101*$C$100</f>
        <v>67500</v>
      </c>
      <c r="H102">
        <f t="shared" ref="H102" si="35">$C$102*H101*$C$100</f>
        <v>92162.5</v>
      </c>
      <c r="I102">
        <f t="shared" ref="I102:Z102" si="36">$C$102*I101*$C$100</f>
        <v>93084.125</v>
      </c>
      <c r="J102">
        <f t="shared" si="36"/>
        <v>94014.966250000012</v>
      </c>
      <c r="K102">
        <f t="shared" si="36"/>
        <v>94955.115912499998</v>
      </c>
      <c r="L102">
        <f t="shared" si="36"/>
        <v>95904.667071624994</v>
      </c>
      <c r="M102">
        <f t="shared" si="36"/>
        <v>96863.713742341264</v>
      </c>
      <c r="N102">
        <f t="shared" si="36"/>
        <v>97832.350879764679</v>
      </c>
      <c r="O102">
        <f t="shared" si="36"/>
        <v>98810.674388562315</v>
      </c>
      <c r="P102">
        <f t="shared" si="36"/>
        <v>99798.781132447941</v>
      </c>
      <c r="Q102">
        <f t="shared" si="36"/>
        <v>100796.76894377242</v>
      </c>
      <c r="R102">
        <f t="shared" si="36"/>
        <v>101804.73663321014</v>
      </c>
      <c r="S102">
        <f t="shared" si="36"/>
        <v>102822.78399954225</v>
      </c>
      <c r="T102">
        <f t="shared" si="36"/>
        <v>103851.01183953766</v>
      </c>
      <c r="U102">
        <f t="shared" si="36"/>
        <v>104889.52195793304</v>
      </c>
      <c r="V102">
        <f t="shared" si="36"/>
        <v>105938.41717751238</v>
      </c>
      <c r="W102">
        <f t="shared" si="36"/>
        <v>106997.8013492875</v>
      </c>
      <c r="X102">
        <f t="shared" si="36"/>
        <v>108067.77936278038</v>
      </c>
      <c r="Y102">
        <f t="shared" si="36"/>
        <v>109148.45715640817</v>
      </c>
      <c r="Z102">
        <f t="shared" si="36"/>
        <v>110239.94172797227</v>
      </c>
    </row>
    <row r="103" spans="1:26">
      <c r="A103" s="70"/>
      <c r="B103" s="26"/>
    </row>
    <row r="104" spans="1:26">
      <c r="A104" s="70" t="s">
        <v>494</v>
      </c>
      <c r="B104" s="47" t="s">
        <v>95</v>
      </c>
      <c r="C104" s="89">
        <v>0.1</v>
      </c>
      <c r="G104">
        <f t="shared" ref="G104:Z110" si="37">G$102*$C104</f>
        <v>6750</v>
      </c>
      <c r="H104">
        <f t="shared" si="37"/>
        <v>9216.25</v>
      </c>
      <c r="I104">
        <f t="shared" si="37"/>
        <v>9308.4125000000004</v>
      </c>
      <c r="J104">
        <f t="shared" si="37"/>
        <v>9401.4966250000016</v>
      </c>
      <c r="K104">
        <f t="shared" si="37"/>
        <v>9495.5115912500005</v>
      </c>
      <c r="L104">
        <f t="shared" si="37"/>
        <v>9590.466707162499</v>
      </c>
      <c r="M104">
        <f t="shared" si="37"/>
        <v>9686.3713742341261</v>
      </c>
      <c r="N104">
        <f t="shared" si="37"/>
        <v>9783.235087976469</v>
      </c>
      <c r="O104">
        <f t="shared" si="37"/>
        <v>9881.0674388562329</v>
      </c>
      <c r="P104">
        <f t="shared" si="37"/>
        <v>9979.8781132447948</v>
      </c>
      <c r="Q104">
        <f t="shared" si="37"/>
        <v>10079.676894377242</v>
      </c>
      <c r="R104">
        <f t="shared" si="37"/>
        <v>10180.473663321014</v>
      </c>
      <c r="S104">
        <f t="shared" si="37"/>
        <v>10282.278399954226</v>
      </c>
      <c r="T104">
        <f t="shared" si="37"/>
        <v>10385.101183953768</v>
      </c>
      <c r="U104">
        <f t="shared" si="37"/>
        <v>10488.952195793305</v>
      </c>
      <c r="V104">
        <f t="shared" si="37"/>
        <v>10593.841717751238</v>
      </c>
      <c r="W104">
        <f t="shared" si="37"/>
        <v>10699.780134928751</v>
      </c>
      <c r="X104">
        <f t="shared" si="37"/>
        <v>10806.777936278038</v>
      </c>
      <c r="Y104">
        <f t="shared" si="37"/>
        <v>10914.845715640819</v>
      </c>
      <c r="Z104">
        <f t="shared" si="37"/>
        <v>11023.994172797227</v>
      </c>
    </row>
    <row r="105" spans="1:26">
      <c r="A105" s="70"/>
      <c r="B105" s="78" t="s">
        <v>493</v>
      </c>
      <c r="C105" s="89">
        <v>0.05</v>
      </c>
      <c r="G105">
        <f t="shared" si="37"/>
        <v>3375</v>
      </c>
      <c r="H105">
        <f t="shared" si="37"/>
        <v>4608.125</v>
      </c>
      <c r="I105">
        <f t="shared" si="37"/>
        <v>4654.2062500000002</v>
      </c>
      <c r="J105">
        <f t="shared" si="37"/>
        <v>4700.7483125000008</v>
      </c>
      <c r="K105">
        <f t="shared" si="37"/>
        <v>4747.7557956250002</v>
      </c>
      <c r="L105">
        <f t="shared" si="37"/>
        <v>4795.2333535812495</v>
      </c>
      <c r="M105">
        <f t="shared" si="37"/>
        <v>4843.185687117063</v>
      </c>
      <c r="N105">
        <f t="shared" si="37"/>
        <v>4891.6175439882345</v>
      </c>
      <c r="O105">
        <f t="shared" si="37"/>
        <v>4940.5337194281165</v>
      </c>
      <c r="P105">
        <f t="shared" si="37"/>
        <v>4989.9390566223974</v>
      </c>
      <c r="Q105">
        <f t="shared" si="37"/>
        <v>5039.8384471886211</v>
      </c>
      <c r="R105">
        <f t="shared" si="37"/>
        <v>5090.2368316605071</v>
      </c>
      <c r="S105">
        <f t="shared" si="37"/>
        <v>5141.1391999771131</v>
      </c>
      <c r="T105">
        <f t="shared" si="37"/>
        <v>5192.5505919768839</v>
      </c>
      <c r="U105">
        <f t="shared" si="37"/>
        <v>5244.4760978966524</v>
      </c>
      <c r="V105">
        <f t="shared" si="37"/>
        <v>5296.9208588756192</v>
      </c>
      <c r="W105">
        <f t="shared" si="37"/>
        <v>5349.8900674643755</v>
      </c>
      <c r="X105">
        <f t="shared" si="37"/>
        <v>5403.3889681390192</v>
      </c>
      <c r="Y105">
        <f t="shared" si="37"/>
        <v>5457.4228578204093</v>
      </c>
      <c r="Z105">
        <f t="shared" si="37"/>
        <v>5511.9970863986136</v>
      </c>
    </row>
    <row r="106" spans="1:26">
      <c r="A106" s="70"/>
      <c r="B106" s="47" t="s">
        <v>148</v>
      </c>
      <c r="C106" s="89">
        <v>0.05</v>
      </c>
      <c r="G106">
        <f t="shared" si="37"/>
        <v>3375</v>
      </c>
      <c r="H106">
        <f t="shared" si="37"/>
        <v>4608.125</v>
      </c>
      <c r="I106">
        <f t="shared" si="37"/>
        <v>4654.2062500000002</v>
      </c>
      <c r="J106">
        <f t="shared" si="37"/>
        <v>4700.7483125000008</v>
      </c>
      <c r="K106">
        <f t="shared" si="37"/>
        <v>4747.7557956250002</v>
      </c>
      <c r="L106">
        <f t="shared" si="37"/>
        <v>4795.2333535812495</v>
      </c>
      <c r="M106">
        <f t="shared" si="37"/>
        <v>4843.185687117063</v>
      </c>
      <c r="N106">
        <f t="shared" si="37"/>
        <v>4891.6175439882345</v>
      </c>
      <c r="O106">
        <f t="shared" si="37"/>
        <v>4940.5337194281165</v>
      </c>
      <c r="P106">
        <f t="shared" si="37"/>
        <v>4989.9390566223974</v>
      </c>
      <c r="Q106">
        <f t="shared" si="37"/>
        <v>5039.8384471886211</v>
      </c>
      <c r="R106">
        <f t="shared" si="37"/>
        <v>5090.2368316605071</v>
      </c>
      <c r="S106">
        <f t="shared" si="37"/>
        <v>5141.1391999771131</v>
      </c>
      <c r="T106">
        <f t="shared" si="37"/>
        <v>5192.5505919768839</v>
      </c>
      <c r="U106">
        <f t="shared" si="37"/>
        <v>5244.4760978966524</v>
      </c>
      <c r="V106">
        <f t="shared" si="37"/>
        <v>5296.9208588756192</v>
      </c>
      <c r="W106">
        <f t="shared" si="37"/>
        <v>5349.8900674643755</v>
      </c>
      <c r="X106">
        <f t="shared" si="37"/>
        <v>5403.3889681390192</v>
      </c>
      <c r="Y106">
        <f t="shared" si="37"/>
        <v>5457.4228578204093</v>
      </c>
      <c r="Z106">
        <f t="shared" si="37"/>
        <v>5511.9970863986136</v>
      </c>
    </row>
    <row r="107" spans="1:26">
      <c r="A107" s="70"/>
      <c r="B107" s="78" t="s">
        <v>421</v>
      </c>
      <c r="C107" s="89">
        <v>0.15</v>
      </c>
      <c r="G107">
        <f t="shared" si="37"/>
        <v>10125</v>
      </c>
      <c r="H107">
        <f t="shared" si="37"/>
        <v>13824.375</v>
      </c>
      <c r="I107">
        <f t="shared" si="37"/>
        <v>13962.61875</v>
      </c>
      <c r="J107">
        <f t="shared" si="37"/>
        <v>14102.244937500001</v>
      </c>
      <c r="K107">
        <f t="shared" si="37"/>
        <v>14243.267386874999</v>
      </c>
      <c r="L107">
        <f t="shared" si="37"/>
        <v>14385.700060743749</v>
      </c>
      <c r="M107">
        <f t="shared" si="37"/>
        <v>14529.55706135119</v>
      </c>
      <c r="N107">
        <f t="shared" si="37"/>
        <v>14674.852631964701</v>
      </c>
      <c r="O107">
        <f t="shared" si="37"/>
        <v>14821.601158284346</v>
      </c>
      <c r="P107">
        <f t="shared" si="37"/>
        <v>14969.81716986719</v>
      </c>
      <c r="Q107">
        <f t="shared" si="37"/>
        <v>15119.515341565862</v>
      </c>
      <c r="R107">
        <f t="shared" si="37"/>
        <v>15270.71049498152</v>
      </c>
      <c r="S107">
        <f t="shared" si="37"/>
        <v>15423.417599931337</v>
      </c>
      <c r="T107">
        <f t="shared" si="37"/>
        <v>15577.651775930648</v>
      </c>
      <c r="U107">
        <f t="shared" si="37"/>
        <v>15733.428293689956</v>
      </c>
      <c r="V107">
        <f t="shared" si="37"/>
        <v>15890.762576626857</v>
      </c>
      <c r="W107">
        <f t="shared" si="37"/>
        <v>16049.670202393125</v>
      </c>
      <c r="X107">
        <f t="shared" si="37"/>
        <v>16210.166904417056</v>
      </c>
      <c r="Y107">
        <f t="shared" si="37"/>
        <v>16372.268573461224</v>
      </c>
      <c r="Z107">
        <f t="shared" si="37"/>
        <v>16535.991259195838</v>
      </c>
    </row>
    <row r="108" spans="1:26">
      <c r="A108" s="70"/>
      <c r="B108" s="47" t="s">
        <v>152</v>
      </c>
      <c r="C108" s="89">
        <v>0.15</v>
      </c>
      <c r="G108">
        <f t="shared" si="37"/>
        <v>10125</v>
      </c>
      <c r="H108">
        <f t="shared" si="37"/>
        <v>13824.375</v>
      </c>
      <c r="I108">
        <f t="shared" si="37"/>
        <v>13962.61875</v>
      </c>
      <c r="J108">
        <f t="shared" si="37"/>
        <v>14102.244937500001</v>
      </c>
      <c r="K108">
        <f t="shared" si="37"/>
        <v>14243.267386874999</v>
      </c>
      <c r="L108">
        <f t="shared" si="37"/>
        <v>14385.700060743749</v>
      </c>
      <c r="M108">
        <f t="shared" si="37"/>
        <v>14529.55706135119</v>
      </c>
      <c r="N108">
        <f t="shared" si="37"/>
        <v>14674.852631964701</v>
      </c>
      <c r="O108">
        <f t="shared" si="37"/>
        <v>14821.601158284346</v>
      </c>
      <c r="P108">
        <f t="shared" si="37"/>
        <v>14969.81716986719</v>
      </c>
      <c r="Q108">
        <f t="shared" si="37"/>
        <v>15119.515341565862</v>
      </c>
      <c r="R108">
        <f t="shared" si="37"/>
        <v>15270.71049498152</v>
      </c>
      <c r="S108">
        <f t="shared" si="37"/>
        <v>15423.417599931337</v>
      </c>
      <c r="T108">
        <f t="shared" si="37"/>
        <v>15577.651775930648</v>
      </c>
      <c r="U108">
        <f t="shared" si="37"/>
        <v>15733.428293689956</v>
      </c>
      <c r="V108">
        <f t="shared" si="37"/>
        <v>15890.762576626857</v>
      </c>
      <c r="W108">
        <f t="shared" si="37"/>
        <v>16049.670202393125</v>
      </c>
      <c r="X108">
        <f t="shared" si="37"/>
        <v>16210.166904417056</v>
      </c>
      <c r="Y108">
        <f t="shared" si="37"/>
        <v>16372.268573461224</v>
      </c>
      <c r="Z108">
        <f t="shared" si="37"/>
        <v>16535.991259195838</v>
      </c>
    </row>
    <row r="109" spans="1:26">
      <c r="A109" s="70" t="s">
        <v>495</v>
      </c>
      <c r="B109" s="78" t="s">
        <v>426</v>
      </c>
      <c r="C109" s="89">
        <v>0.25</v>
      </c>
      <c r="G109">
        <f t="shared" si="37"/>
        <v>16875</v>
      </c>
      <c r="H109">
        <f t="shared" si="37"/>
        <v>23040.625</v>
      </c>
      <c r="I109">
        <f t="shared" si="37"/>
        <v>23271.03125</v>
      </c>
      <c r="J109">
        <f t="shared" si="37"/>
        <v>23503.741562500003</v>
      </c>
      <c r="K109">
        <f t="shared" si="37"/>
        <v>23738.778978124999</v>
      </c>
      <c r="L109">
        <f t="shared" si="37"/>
        <v>23976.166767906248</v>
      </c>
      <c r="M109">
        <f t="shared" si="37"/>
        <v>24215.928435585316</v>
      </c>
      <c r="N109">
        <f t="shared" si="37"/>
        <v>24458.08771994117</v>
      </c>
      <c r="O109">
        <f t="shared" si="37"/>
        <v>24702.668597140579</v>
      </c>
      <c r="P109">
        <f t="shared" si="37"/>
        <v>24949.695283111985</v>
      </c>
      <c r="Q109">
        <f t="shared" si="37"/>
        <v>25199.192235943105</v>
      </c>
      <c r="R109">
        <f t="shared" si="37"/>
        <v>25451.184158302534</v>
      </c>
      <c r="S109">
        <f t="shared" si="37"/>
        <v>25705.695999885564</v>
      </c>
      <c r="T109">
        <f t="shared" si="37"/>
        <v>25962.752959884416</v>
      </c>
      <c r="U109">
        <f t="shared" si="37"/>
        <v>26222.380489483261</v>
      </c>
      <c r="V109">
        <f t="shared" si="37"/>
        <v>26484.604294378096</v>
      </c>
      <c r="W109">
        <f t="shared" si="37"/>
        <v>26749.450337321876</v>
      </c>
      <c r="X109">
        <f t="shared" si="37"/>
        <v>27016.944840695094</v>
      </c>
      <c r="Y109">
        <f t="shared" si="37"/>
        <v>27287.114289102043</v>
      </c>
      <c r="Z109">
        <f t="shared" si="37"/>
        <v>27559.985431993067</v>
      </c>
    </row>
    <row r="110" spans="1:26">
      <c r="A110" s="70"/>
      <c r="B110" s="78" t="s">
        <v>458</v>
      </c>
      <c r="C110" s="89">
        <v>0.25</v>
      </c>
      <c r="G110">
        <f t="shared" si="37"/>
        <v>16875</v>
      </c>
      <c r="H110">
        <f t="shared" si="37"/>
        <v>23040.625</v>
      </c>
      <c r="I110">
        <f t="shared" si="37"/>
        <v>23271.03125</v>
      </c>
      <c r="J110">
        <f t="shared" si="37"/>
        <v>23503.741562500003</v>
      </c>
      <c r="K110">
        <f t="shared" si="37"/>
        <v>23738.778978124999</v>
      </c>
      <c r="L110">
        <f t="shared" si="37"/>
        <v>23976.166767906248</v>
      </c>
      <c r="M110">
        <f t="shared" si="37"/>
        <v>24215.928435585316</v>
      </c>
      <c r="N110">
        <f t="shared" si="37"/>
        <v>24458.08771994117</v>
      </c>
      <c r="O110">
        <f t="shared" si="37"/>
        <v>24702.668597140579</v>
      </c>
      <c r="P110">
        <f t="shared" si="37"/>
        <v>24949.695283111985</v>
      </c>
      <c r="Q110">
        <f t="shared" si="37"/>
        <v>25199.192235943105</v>
      </c>
      <c r="R110">
        <f t="shared" si="37"/>
        <v>25451.184158302534</v>
      </c>
      <c r="S110">
        <f t="shared" si="37"/>
        <v>25705.695999885564</v>
      </c>
      <c r="T110">
        <f t="shared" si="37"/>
        <v>25962.752959884416</v>
      </c>
      <c r="U110">
        <f t="shared" si="37"/>
        <v>26222.380489483261</v>
      </c>
      <c r="V110">
        <f t="shared" si="37"/>
        <v>26484.604294378096</v>
      </c>
      <c r="W110">
        <f t="shared" si="37"/>
        <v>26749.450337321876</v>
      </c>
      <c r="X110">
        <f t="shared" si="37"/>
        <v>27016.944840695094</v>
      </c>
      <c r="Y110">
        <f t="shared" si="37"/>
        <v>27287.114289102043</v>
      </c>
      <c r="Z110">
        <f t="shared" si="37"/>
        <v>27559.985431993067</v>
      </c>
    </row>
    <row r="111" spans="1:26">
      <c r="A111" s="70"/>
      <c r="C111" s="254">
        <f>SUM(C104:C110)</f>
        <v>1</v>
      </c>
    </row>
    <row r="112" spans="1:26">
      <c r="A112" s="5" t="s">
        <v>352</v>
      </c>
      <c r="B112" s="53"/>
    </row>
    <row r="113" spans="1:26">
      <c r="A113" s="70"/>
      <c r="B113" s="70" t="s">
        <v>350</v>
      </c>
      <c r="C113" s="327">
        <f t="shared" ref="C113:Z113" si="38">$B$86*C79*300</f>
        <v>2220.8746054658545</v>
      </c>
      <c r="D113" s="327">
        <f t="shared" si="38"/>
        <v>2307.3775166065107</v>
      </c>
      <c r="E113" s="327">
        <f t="shared" si="38"/>
        <v>2393.8804277471672</v>
      </c>
      <c r="F113" s="327">
        <f t="shared" si="38"/>
        <v>2480.3833388878234</v>
      </c>
      <c r="G113">
        <f t="shared" si="38"/>
        <v>2566.8862500284799</v>
      </c>
      <c r="H113">
        <f t="shared" si="38"/>
        <v>2653.3891611691356</v>
      </c>
      <c r="I113">
        <f t="shared" si="38"/>
        <v>2739.8920723097926</v>
      </c>
      <c r="J113">
        <f t="shared" si="38"/>
        <v>86.50291114065638</v>
      </c>
      <c r="K113">
        <f t="shared" si="38"/>
        <v>2828.5125657353465</v>
      </c>
      <c r="L113">
        <f t="shared" si="38"/>
        <v>2830.6301480202442</v>
      </c>
      <c r="M113">
        <f t="shared" si="38"/>
        <v>2832.7477303051428</v>
      </c>
      <c r="N113">
        <f t="shared" si="38"/>
        <v>2834.86531259004</v>
      </c>
      <c r="O113">
        <f t="shared" si="38"/>
        <v>2836.9828948749378</v>
      </c>
      <c r="P113">
        <f t="shared" si="38"/>
        <v>2839.1004771598359</v>
      </c>
      <c r="Q113">
        <f t="shared" si="38"/>
        <v>2841.2180594447327</v>
      </c>
      <c r="R113">
        <f t="shared" si="38"/>
        <v>2843.3356417296309</v>
      </c>
      <c r="S113">
        <f t="shared" si="38"/>
        <v>2845.4532240145286</v>
      </c>
      <c r="T113">
        <f t="shared" si="38"/>
        <v>2847.5708062994263</v>
      </c>
      <c r="U113">
        <f t="shared" si="38"/>
        <v>2871.0397770878426</v>
      </c>
      <c r="V113">
        <f t="shared" si="38"/>
        <v>2873.1733198867896</v>
      </c>
      <c r="W113">
        <f t="shared" si="38"/>
        <v>2875.3068626857366</v>
      </c>
      <c r="X113">
        <f t="shared" si="38"/>
        <v>2877.4404054846832</v>
      </c>
      <c r="Y113">
        <f t="shared" si="38"/>
        <v>2879.5739482836298</v>
      </c>
      <c r="Z113">
        <f t="shared" si="38"/>
        <v>2881.7074910825772</v>
      </c>
    </row>
    <row r="114" spans="1:26">
      <c r="A114" s="229">
        <v>0.25</v>
      </c>
      <c r="B114" s="54" t="s">
        <v>418</v>
      </c>
      <c r="G114">
        <f>G113*$A114*0.75</f>
        <v>481.29117188034002</v>
      </c>
      <c r="H114">
        <f t="shared" ref="H114:Z114" si="39">H113*$A114</f>
        <v>663.3472902922839</v>
      </c>
      <c r="I114">
        <f t="shared" si="39"/>
        <v>684.97301807744816</v>
      </c>
      <c r="J114">
        <f t="shared" si="39"/>
        <v>21.625727785164095</v>
      </c>
      <c r="K114">
        <f t="shared" si="39"/>
        <v>707.12814143383662</v>
      </c>
      <c r="L114">
        <f t="shared" si="39"/>
        <v>707.65753700506104</v>
      </c>
      <c r="M114">
        <f t="shared" si="39"/>
        <v>708.1869325762857</v>
      </c>
      <c r="N114">
        <f t="shared" si="39"/>
        <v>708.71632814751001</v>
      </c>
      <c r="O114">
        <f t="shared" si="39"/>
        <v>709.24572371873444</v>
      </c>
      <c r="P114">
        <f t="shared" si="39"/>
        <v>709.77511928995898</v>
      </c>
      <c r="Q114">
        <f t="shared" si="39"/>
        <v>710.30451486118318</v>
      </c>
      <c r="R114">
        <f t="shared" si="39"/>
        <v>710.83391043240772</v>
      </c>
      <c r="S114">
        <f t="shared" si="39"/>
        <v>711.36330600363215</v>
      </c>
      <c r="T114">
        <f t="shared" si="39"/>
        <v>711.89270157485657</v>
      </c>
      <c r="U114">
        <f t="shared" si="39"/>
        <v>717.75994427196065</v>
      </c>
      <c r="V114">
        <f t="shared" si="39"/>
        <v>718.2933299716974</v>
      </c>
      <c r="W114">
        <f t="shared" si="39"/>
        <v>718.82671567143416</v>
      </c>
      <c r="X114">
        <f t="shared" si="39"/>
        <v>719.3601013711708</v>
      </c>
      <c r="Y114">
        <f t="shared" si="39"/>
        <v>719.89348707090744</v>
      </c>
      <c r="Z114">
        <f t="shared" si="39"/>
        <v>720.42687277064431</v>
      </c>
    </row>
    <row r="115" spans="1:26">
      <c r="A115" s="229">
        <v>0.15</v>
      </c>
      <c r="B115" s="78" t="s">
        <v>419</v>
      </c>
      <c r="G115">
        <f>G113*$A115*0.75</f>
        <v>288.77470312820395</v>
      </c>
      <c r="H115">
        <f t="shared" ref="H115:Z115" si="40">H113*$A115</f>
        <v>398.00837417537031</v>
      </c>
      <c r="I115">
        <f t="shared" si="40"/>
        <v>410.98381084646888</v>
      </c>
      <c r="J115">
        <f t="shared" si="40"/>
        <v>12.975436671098457</v>
      </c>
      <c r="K115">
        <f t="shared" si="40"/>
        <v>424.27688486030195</v>
      </c>
      <c r="L115">
        <f t="shared" si="40"/>
        <v>424.5945222030366</v>
      </c>
      <c r="M115">
        <f t="shared" si="40"/>
        <v>424.91215954577143</v>
      </c>
      <c r="N115">
        <f t="shared" si="40"/>
        <v>425.22979688850597</v>
      </c>
      <c r="O115">
        <f t="shared" si="40"/>
        <v>425.54743423124063</v>
      </c>
      <c r="P115">
        <f t="shared" si="40"/>
        <v>425.8650715739754</v>
      </c>
      <c r="Q115">
        <f t="shared" si="40"/>
        <v>426.18270891670988</v>
      </c>
      <c r="R115">
        <f t="shared" si="40"/>
        <v>426.5003462594446</v>
      </c>
      <c r="S115">
        <f t="shared" si="40"/>
        <v>426.81798360217925</v>
      </c>
      <c r="T115">
        <f t="shared" si="40"/>
        <v>427.13562094491391</v>
      </c>
      <c r="U115">
        <f t="shared" si="40"/>
        <v>430.65596656317638</v>
      </c>
      <c r="V115">
        <f t="shared" si="40"/>
        <v>430.97599798301843</v>
      </c>
      <c r="W115">
        <f t="shared" si="40"/>
        <v>431.29602940286048</v>
      </c>
      <c r="X115">
        <f t="shared" si="40"/>
        <v>431.61606082270248</v>
      </c>
      <c r="Y115">
        <f t="shared" si="40"/>
        <v>431.93609224254448</v>
      </c>
      <c r="Z115">
        <f t="shared" si="40"/>
        <v>432.25612366238659</v>
      </c>
    </row>
    <row r="117" spans="1:26">
      <c r="A117" s="5" t="s">
        <v>443</v>
      </c>
    </row>
    <row r="118" spans="1:26">
      <c r="A118" s="70" t="s">
        <v>354</v>
      </c>
    </row>
    <row r="119" spans="1:26">
      <c r="A119" s="70" t="s">
        <v>355</v>
      </c>
    </row>
    <row r="120" spans="1:26">
      <c r="A120" s="70"/>
      <c r="B120" s="53"/>
    </row>
    <row r="121" spans="1:26">
      <c r="A121" s="70"/>
      <c r="B121" s="53"/>
    </row>
    <row r="122" spans="1:26">
      <c r="A122" s="3" t="s">
        <v>380</v>
      </c>
      <c r="B122" s="3"/>
    </row>
    <row r="123" spans="1:26">
      <c r="A123" s="3" t="s">
        <v>381</v>
      </c>
      <c r="C123" s="200" t="s">
        <v>377</v>
      </c>
      <c r="D123" s="199"/>
      <c r="E123" s="199" t="s">
        <v>378</v>
      </c>
      <c r="F123" s="199" t="s">
        <v>376</v>
      </c>
      <c r="G123" s="199" t="s">
        <v>375</v>
      </c>
      <c r="H123" s="199" t="s">
        <v>374</v>
      </c>
      <c r="I123" s="199" t="s">
        <v>373</v>
      </c>
    </row>
    <row r="124" spans="1:26">
      <c r="B124" s="199" t="s">
        <v>368</v>
      </c>
      <c r="C124" s="200" t="s">
        <v>367</v>
      </c>
      <c r="D124" s="199"/>
      <c r="E124" s="199">
        <v>612</v>
      </c>
      <c r="F124" s="199">
        <v>136</v>
      </c>
      <c r="G124" s="199">
        <v>71</v>
      </c>
      <c r="H124" s="201">
        <v>207</v>
      </c>
      <c r="I124" s="199"/>
    </row>
    <row r="125" spans="1:26">
      <c r="B125" s="199" t="s">
        <v>370</v>
      </c>
      <c r="C125" s="200" t="s">
        <v>369</v>
      </c>
      <c r="D125" s="199"/>
      <c r="E125" s="199">
        <v>361</v>
      </c>
      <c r="F125" s="199">
        <v>80.2</v>
      </c>
      <c r="G125" s="199">
        <v>70</v>
      </c>
      <c r="H125" s="199">
        <v>150.19999999999999</v>
      </c>
      <c r="I125" s="202">
        <v>0.9</v>
      </c>
      <c r="J125" t="s">
        <v>366</v>
      </c>
    </row>
    <row r="126" spans="1:26">
      <c r="B126" s="199" t="s">
        <v>372</v>
      </c>
      <c r="C126" s="200" t="s">
        <v>371</v>
      </c>
      <c r="D126" s="199"/>
      <c r="E126" s="199">
        <v>397</v>
      </c>
      <c r="F126" s="199">
        <v>88.2</v>
      </c>
      <c r="G126" s="199">
        <v>0</v>
      </c>
      <c r="H126" s="199">
        <v>88.2</v>
      </c>
      <c r="I126" s="202">
        <v>1</v>
      </c>
      <c r="J126" s="26" t="s">
        <v>379</v>
      </c>
    </row>
    <row r="128" spans="1:26">
      <c r="B128" t="s">
        <v>359</v>
      </c>
    </row>
    <row r="129" spans="1:4">
      <c r="B129" s="198" t="s">
        <v>360</v>
      </c>
    </row>
    <row r="130" spans="1:4">
      <c r="B130" s="198" t="s">
        <v>361</v>
      </c>
    </row>
    <row r="132" spans="1:4">
      <c r="B132" t="s">
        <v>362</v>
      </c>
    </row>
    <row r="133" spans="1:4">
      <c r="B133" s="198" t="s">
        <v>363</v>
      </c>
    </row>
    <row r="134" spans="1:4">
      <c r="B134" t="s">
        <v>364</v>
      </c>
    </row>
    <row r="135" spans="1:4">
      <c r="B135" s="198" t="s">
        <v>365</v>
      </c>
    </row>
    <row r="139" spans="1:4">
      <c r="A139" s="80"/>
      <c r="B139" s="79"/>
      <c r="C139" s="79"/>
      <c r="D139" s="79"/>
    </row>
    <row r="140" spans="1:4">
      <c r="A140" s="41"/>
      <c r="B140" s="25"/>
      <c r="C140" s="100"/>
      <c r="D140" s="100"/>
    </row>
    <row r="141" spans="1:4">
      <c r="A141" s="25"/>
      <c r="B141" s="25"/>
      <c r="C141" s="25"/>
      <c r="D141" s="25"/>
    </row>
    <row r="142" spans="1:4">
      <c r="A142" s="25"/>
      <c r="B142" s="25"/>
      <c r="C142" s="25"/>
      <c r="D142" s="25"/>
    </row>
    <row r="143" spans="1:4">
      <c r="A143" s="25"/>
      <c r="B143" s="234"/>
      <c r="C143" s="100"/>
      <c r="D143" s="100"/>
    </row>
    <row r="144" spans="1:4">
      <c r="A144" s="25"/>
      <c r="B144" s="234"/>
      <c r="C144" s="234"/>
      <c r="D144" s="100"/>
    </row>
    <row r="145" spans="1:4">
      <c r="A145" s="25"/>
      <c r="B145" s="25"/>
      <c r="C145" s="25"/>
      <c r="D145" s="257"/>
    </row>
    <row r="146" spans="1:4">
      <c r="A146" s="25"/>
      <c r="B146" s="234"/>
      <c r="C146" s="25"/>
      <c r="D146" s="100"/>
    </row>
    <row r="147" spans="1:4">
      <c r="A147" s="25"/>
      <c r="B147" s="25"/>
      <c r="C147" s="25"/>
      <c r="D147" s="25"/>
    </row>
    <row r="148" spans="1:4">
      <c r="A148" s="25"/>
      <c r="B148" s="25"/>
      <c r="C148" s="25"/>
      <c r="D148" s="100"/>
    </row>
    <row r="149" spans="1:4">
      <c r="A149" s="25"/>
      <c r="B149" s="25"/>
      <c r="C149" s="25"/>
      <c r="D149" s="100"/>
    </row>
    <row r="150" spans="1:4">
      <c r="A150" s="25"/>
      <c r="B150" s="25"/>
      <c r="C150" s="25"/>
      <c r="D150" s="100"/>
    </row>
    <row r="151" spans="1:4">
      <c r="A151" s="25"/>
      <c r="B151" s="25"/>
      <c r="C151" s="25"/>
      <c r="D151" s="235"/>
    </row>
    <row r="152" spans="1:4">
      <c r="A152" s="25"/>
      <c r="B152" s="25"/>
      <c r="C152" s="25"/>
      <c r="D152" s="25"/>
    </row>
    <row r="153" spans="1:4">
      <c r="A153" s="25"/>
      <c r="B153" s="25"/>
      <c r="C153" s="25"/>
      <c r="D153" s="25"/>
    </row>
    <row r="154" spans="1:4">
      <c r="A154" s="25"/>
      <c r="B154" s="25"/>
      <c r="C154" s="25"/>
      <c r="D154" s="323"/>
    </row>
    <row r="155" spans="1:4">
      <c r="A155" s="25"/>
      <c r="B155" s="25"/>
      <c r="C155" s="25"/>
      <c r="D155" s="25"/>
    </row>
    <row r="156" spans="1:4">
      <c r="A156" s="25"/>
      <c r="B156" s="25"/>
      <c r="C156" s="25"/>
      <c r="D156" s="236"/>
    </row>
    <row r="157" spans="1:4">
      <c r="A157" s="25"/>
      <c r="B157" s="25"/>
      <c r="C157" s="25"/>
      <c r="D157" s="236"/>
    </row>
    <row r="158" spans="1:4">
      <c r="A158" s="25"/>
      <c r="B158" s="25"/>
      <c r="C158" s="25"/>
      <c r="D158" s="236"/>
    </row>
    <row r="159" spans="1:4">
      <c r="A159" s="25"/>
      <c r="B159" s="25"/>
      <c r="C159" s="25"/>
      <c r="D159" s="236"/>
    </row>
    <row r="160" spans="1:4">
      <c r="A160" s="25"/>
      <c r="B160" s="25"/>
      <c r="C160" s="25"/>
      <c r="D160" s="236"/>
    </row>
    <row r="161" spans="1:4">
      <c r="A161" s="25"/>
      <c r="B161" s="25"/>
      <c r="C161" s="25"/>
      <c r="D161" s="236"/>
    </row>
    <row r="162" spans="1:4">
      <c r="A162" s="25"/>
      <c r="B162" s="25"/>
      <c r="C162" s="25"/>
      <c r="D162" s="236"/>
    </row>
    <row r="163" spans="1:4">
      <c r="A163" s="25"/>
      <c r="B163" s="25"/>
      <c r="C163" s="25"/>
      <c r="D163" s="25"/>
    </row>
    <row r="164" spans="1:4">
      <c r="A164" s="25"/>
      <c r="B164" s="25"/>
      <c r="C164" s="25"/>
      <c r="D164" s="25"/>
    </row>
    <row r="165" spans="1:4">
      <c r="A165" s="25"/>
      <c r="B165" s="25"/>
      <c r="C165" s="25"/>
      <c r="D165" s="25"/>
    </row>
    <row r="166" spans="1:4">
      <c r="A166" s="237"/>
      <c r="B166" s="237"/>
      <c r="C166" s="237"/>
      <c r="D166" s="324"/>
    </row>
    <row r="167" spans="1:4">
      <c r="A167" s="237"/>
      <c r="B167" s="237"/>
      <c r="C167" s="237"/>
      <c r="D167" s="238"/>
    </row>
    <row r="168" spans="1:4">
      <c r="A168" s="25"/>
      <c r="B168" s="25"/>
      <c r="C168" s="25"/>
      <c r="D168" s="25"/>
    </row>
    <row r="169" spans="1:4">
      <c r="A169" s="237"/>
      <c r="B169" s="237"/>
      <c r="C169" s="237"/>
      <c r="D169" s="98"/>
    </row>
    <row r="170" spans="1:4">
      <c r="A170" s="237"/>
      <c r="B170" s="237"/>
      <c r="C170" s="237"/>
      <c r="D170" s="98"/>
    </row>
    <row r="171" spans="1:4">
      <c r="A171" s="237"/>
      <c r="B171" s="237"/>
      <c r="C171" s="237"/>
      <c r="D171" s="98"/>
    </row>
    <row r="172" spans="1:4">
      <c r="A172" s="237"/>
      <c r="B172" s="237"/>
      <c r="C172" s="237"/>
      <c r="D172" s="98"/>
    </row>
    <row r="173" spans="1:4">
      <c r="A173" s="237"/>
      <c r="B173" s="237"/>
      <c r="C173" s="237"/>
      <c r="D173" s="98"/>
    </row>
    <row r="174" spans="1:4">
      <c r="A174" s="237"/>
      <c r="B174" s="237"/>
      <c r="C174" s="237"/>
      <c r="D174" s="98"/>
    </row>
    <row r="175" spans="1:4">
      <c r="A175" s="237"/>
      <c r="B175" s="237"/>
      <c r="C175" s="237"/>
      <c r="D175" s="232"/>
    </row>
    <row r="176" spans="1:4">
      <c r="A176" s="237"/>
      <c r="B176" s="237"/>
      <c r="C176" s="237"/>
      <c r="D176" s="98"/>
    </row>
    <row r="177" spans="1:4">
      <c r="A177" s="237"/>
      <c r="B177" s="237"/>
      <c r="C177" s="237"/>
      <c r="D177" s="98"/>
    </row>
    <row r="178" spans="1:4">
      <c r="A178" s="237"/>
      <c r="B178" s="237"/>
      <c r="C178" s="237"/>
      <c r="D178" s="98"/>
    </row>
    <row r="179" spans="1:4">
      <c r="A179" s="237"/>
      <c r="B179" s="237"/>
      <c r="C179" s="237"/>
      <c r="D179" s="98"/>
    </row>
    <row r="180" spans="1:4">
      <c r="A180" s="237"/>
      <c r="B180" s="237"/>
      <c r="C180" s="237"/>
      <c r="D180" s="65"/>
    </row>
    <row r="181" spans="1:4">
      <c r="A181" s="237"/>
      <c r="B181" s="237"/>
      <c r="C181" s="237"/>
      <c r="D181" s="237"/>
    </row>
  </sheetData>
  <mergeCells count="2">
    <mergeCell ref="F55:I55"/>
    <mergeCell ref="B55:E55"/>
  </mergeCells>
  <conditionalFormatting sqref="T65:V65 D65:F65 X65:Z65 L65:N65 P65:R65 H65:J65 T58:V60 H60:J60 G58:I59 X58:Z60 L58:N60 P58:R60 D58:E59 D60:F60">
    <cfRule type="cellIs" dxfId="1" priority="6" stopIfTrue="1" operator="lessThanOrEqual">
      <formula>-0.005</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G261"/>
  <sheetViews>
    <sheetView topLeftCell="A64" zoomScale="75" zoomScaleNormal="75" workbookViewId="0">
      <selection activeCell="A93" sqref="A93"/>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35" customWidth="1"/>
    <col min="33" max="33" width="14.28515625" customWidth="1"/>
    <col min="34" max="34" width="12.140625" bestFit="1" customWidth="1"/>
    <col min="35" max="35" width="11.140625" bestFit="1" customWidth="1"/>
  </cols>
  <sheetData>
    <row r="1" spans="1:33"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3"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334"/>
    </row>
    <row r="3" spans="1:33">
      <c r="A3" s="69"/>
      <c r="B3" s="69"/>
      <c r="D3" s="206"/>
      <c r="E3" s="215"/>
      <c r="AC3" s="261"/>
    </row>
    <row r="4" spans="1:33">
      <c r="A4" s="41"/>
      <c r="B4" s="41"/>
      <c r="C4" s="45"/>
      <c r="D4" s="207"/>
      <c r="E4" s="215"/>
      <c r="AC4" s="261"/>
    </row>
    <row r="5" spans="1:33">
      <c r="A5" s="44" t="s">
        <v>218</v>
      </c>
      <c r="B5" s="44"/>
      <c r="C5" s="55" t="s">
        <v>389</v>
      </c>
      <c r="D5" s="207"/>
      <c r="E5" s="215"/>
      <c r="F5" s="292"/>
      <c r="G5" s="292"/>
      <c r="H5" s="292"/>
      <c r="I5" s="292"/>
      <c r="J5" s="292"/>
      <c r="K5" s="292"/>
      <c r="L5" s="292"/>
      <c r="M5" s="292"/>
      <c r="N5" s="292"/>
      <c r="O5" s="292"/>
      <c r="P5" s="292"/>
      <c r="Q5" s="292"/>
      <c r="R5" s="292"/>
      <c r="S5" s="292"/>
      <c r="T5" s="292"/>
      <c r="U5" s="292"/>
      <c r="V5" s="292"/>
      <c r="W5" s="292"/>
      <c r="X5" s="292"/>
      <c r="Y5" s="292"/>
      <c r="Z5" s="292"/>
      <c r="AA5" s="292"/>
      <c r="AB5" s="292"/>
      <c r="AC5" s="383"/>
      <c r="AD5" s="336"/>
    </row>
    <row r="6" spans="1:33">
      <c r="A6" s="44"/>
      <c r="B6" s="44"/>
      <c r="C6" s="55" t="s">
        <v>388</v>
      </c>
      <c r="D6" s="207"/>
      <c r="E6" s="215"/>
      <c r="F6" s="292">
        <v>-534024</v>
      </c>
      <c r="G6" s="292">
        <v>-41400</v>
      </c>
      <c r="H6" s="292"/>
      <c r="I6" s="292"/>
      <c r="K6" s="292"/>
      <c r="L6" s="292"/>
      <c r="M6" s="292"/>
      <c r="N6" s="292"/>
      <c r="O6" s="292"/>
      <c r="P6" s="292"/>
      <c r="Q6" s="292"/>
      <c r="R6" s="292"/>
      <c r="S6" s="292"/>
      <c r="T6" s="292"/>
      <c r="U6" s="292"/>
      <c r="V6" s="292"/>
      <c r="W6" s="292"/>
      <c r="X6" s="292"/>
      <c r="Y6" s="292"/>
      <c r="Z6" s="292"/>
      <c r="AA6" s="292"/>
      <c r="AB6" s="292"/>
      <c r="AC6" s="383"/>
      <c r="AD6" s="336"/>
    </row>
    <row r="7" spans="1:33"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37"/>
    </row>
    <row r="8" spans="1:33" s="53" customFormat="1" ht="12">
      <c r="A8" s="58" t="s">
        <v>219</v>
      </c>
      <c r="B8" s="58"/>
      <c r="D8" s="209"/>
      <c r="E8" s="216"/>
      <c r="H8" s="59"/>
      <c r="I8" s="59"/>
      <c r="J8" s="59"/>
      <c r="K8" s="59"/>
      <c r="L8" s="59"/>
      <c r="M8" s="59"/>
      <c r="N8" s="59"/>
      <c r="O8" s="59"/>
      <c r="P8" s="59"/>
      <c r="Q8" s="59"/>
      <c r="R8" s="59"/>
      <c r="S8" s="59"/>
      <c r="T8" s="59"/>
      <c r="U8" s="59"/>
      <c r="V8" s="59"/>
      <c r="W8" s="59"/>
      <c r="X8" s="59"/>
      <c r="Y8" s="59"/>
      <c r="AC8" s="263"/>
      <c r="AD8" s="338"/>
    </row>
    <row r="9" spans="1:33" s="53" customFormat="1" ht="12">
      <c r="A9" s="58"/>
      <c r="B9" s="5" t="s">
        <v>351</v>
      </c>
      <c r="D9" s="209"/>
      <c r="E9" s="216"/>
      <c r="H9" s="380"/>
      <c r="AC9" s="263"/>
      <c r="AD9" s="338"/>
    </row>
    <row r="10" spans="1:33" s="53" customFormat="1" ht="12">
      <c r="A10" s="58"/>
      <c r="B10" s="70" t="s">
        <v>447</v>
      </c>
      <c r="C10" s="70" t="s">
        <v>350</v>
      </c>
      <c r="D10" s="209"/>
      <c r="E10" s="216"/>
      <c r="F10" s="59">
        <f>'NC Users'!C5</f>
        <v>0</v>
      </c>
      <c r="G10" s="59">
        <f>'NC Users'!D5</f>
        <v>142212.44944581174</v>
      </c>
      <c r="H10" s="59">
        <f>'NC Users'!E5</f>
        <v>143529.29155629606</v>
      </c>
      <c r="I10" s="59">
        <f>'NC Users'!F5</f>
        <v>144846.13366678034</v>
      </c>
      <c r="J10" s="59">
        <f>'NC Users'!G5</f>
        <v>146162.97577726463</v>
      </c>
      <c r="K10" s="59">
        <f>'NC Users'!H5</f>
        <v>147479.81788774897</v>
      </c>
      <c r="L10" s="59">
        <f>'NC Users'!I5</f>
        <v>148796.65999823326</v>
      </c>
      <c r="M10" s="59">
        <f>'NC Users'!J5</f>
        <v>150113.50210871754</v>
      </c>
      <c r="N10" s="59">
        <f>'NC Users'!K5</f>
        <v>149726.20082237764</v>
      </c>
      <c r="O10" s="59">
        <f>'NC Users'!L5</f>
        <v>149338.89953603764</v>
      </c>
      <c r="P10" s="59">
        <f>'NC Users'!M5</f>
        <v>148951.59824969768</v>
      </c>
      <c r="Q10" s="59">
        <f>'NC Users'!N5</f>
        <v>148564.29696335777</v>
      </c>
      <c r="R10" s="59">
        <f>'NC Users'!O5</f>
        <v>148176.99567701778</v>
      </c>
      <c r="S10" s="59">
        <f>'NC Users'!P5</f>
        <v>147789.69439067785</v>
      </c>
      <c r="T10" s="59">
        <f>'NC Users'!Q5</f>
        <v>147402.39310433788</v>
      </c>
      <c r="U10" s="59">
        <f>'NC Users'!R5</f>
        <v>147015.09181799789</v>
      </c>
      <c r="V10" s="59">
        <f>'NC Users'!S5</f>
        <v>146627.79053165793</v>
      </c>
      <c r="W10" s="59">
        <f>'NC Users'!T5</f>
        <v>146240.48924531796</v>
      </c>
      <c r="X10" s="59">
        <f>'NC Users'!U5</f>
        <v>142090.80514653586</v>
      </c>
      <c r="Y10" s="59">
        <f>'NC Users'!V5</f>
        <v>141713.56113755566</v>
      </c>
      <c r="Z10" s="59">
        <f>'NC Users'!W5</f>
        <v>141336.31712857547</v>
      </c>
      <c r="AA10" s="59">
        <f>'NC Users'!X5</f>
        <v>140959.07311959527</v>
      </c>
      <c r="AB10" s="59">
        <f>'NC Users'!Y5</f>
        <v>140581.8291106151</v>
      </c>
      <c r="AC10" s="264">
        <f>'NC Users'!Z5</f>
        <v>140204.58510163488</v>
      </c>
      <c r="AD10" s="339">
        <f t="shared" ref="AD10:AD55" si="0">SUM(F10:AC10)</f>
        <v>3349860.4515238423</v>
      </c>
    </row>
    <row r="11" spans="1:33" s="53" customFormat="1" ht="12">
      <c r="A11" s="58"/>
      <c r="B11" s="70" t="s">
        <v>446</v>
      </c>
      <c r="C11" s="54" t="s">
        <v>415</v>
      </c>
      <c r="D11" s="209"/>
      <c r="E11" s="216"/>
      <c r="F11" s="59">
        <f>'NC Users'!C6</f>
        <v>0</v>
      </c>
      <c r="G11" s="59">
        <f>'NC Users'!D6</f>
        <v>2844.2489889162348</v>
      </c>
      <c r="H11" s="59">
        <f>'NC Users'!E6</f>
        <v>2870.5858311259212</v>
      </c>
      <c r="I11" s="59">
        <f>'NC Users'!F6</f>
        <v>2896.9226733356068</v>
      </c>
      <c r="J11" s="59">
        <f>'NC Users'!G6</f>
        <v>2923.2595155452927</v>
      </c>
      <c r="K11" s="59">
        <f>'NC Users'!H6</f>
        <v>2949.5963577549796</v>
      </c>
      <c r="L11" s="59">
        <f>'NC Users'!I6</f>
        <v>2975.9331999646652</v>
      </c>
      <c r="M11" s="59">
        <f>'NC Users'!J6</f>
        <v>3002.2700421743507</v>
      </c>
      <c r="N11" s="59">
        <f>'NC Users'!K6</f>
        <v>2994.5240164475526</v>
      </c>
      <c r="O11" s="59">
        <f>'NC Users'!L6</f>
        <v>2986.7779907207528</v>
      </c>
      <c r="P11" s="59">
        <f>'NC Users'!M6</f>
        <v>2979.0319649939538</v>
      </c>
      <c r="Q11" s="59">
        <f>'NC Users'!N6</f>
        <v>2971.2859392671558</v>
      </c>
      <c r="R11" s="59">
        <f>'NC Users'!O6</f>
        <v>2963.5399135403559</v>
      </c>
      <c r="S11" s="59">
        <f>'NC Users'!P6</f>
        <v>2955.7938878135569</v>
      </c>
      <c r="T11" s="59">
        <f>'NC Users'!Q6</f>
        <v>2948.0478620867575</v>
      </c>
      <c r="U11" s="59">
        <f>'NC Users'!R6</f>
        <v>2940.3018363599581</v>
      </c>
      <c r="V11" s="59">
        <f>'NC Users'!S6</f>
        <v>2932.5558106331587</v>
      </c>
      <c r="W11" s="59">
        <f>'NC Users'!T6</f>
        <v>2924.8097849063593</v>
      </c>
      <c r="X11" s="59">
        <f>'NC Users'!U6</f>
        <v>2841.8161029307171</v>
      </c>
      <c r="Y11" s="59">
        <f>'NC Users'!V6</f>
        <v>2834.2712227511133</v>
      </c>
      <c r="Z11" s="59">
        <f>'NC Users'!W6</f>
        <v>2826.7263425715096</v>
      </c>
      <c r="AA11" s="59">
        <f>'NC Users'!X6</f>
        <v>2819.1814623919054</v>
      </c>
      <c r="AB11" s="59">
        <f>'NC Users'!Y6</f>
        <v>2811.6365822123021</v>
      </c>
      <c r="AC11" s="264">
        <f>'NC Users'!Z6</f>
        <v>2804.0917020326974</v>
      </c>
      <c r="AD11" s="339">
        <f t="shared" si="0"/>
        <v>66997.20903047685</v>
      </c>
    </row>
    <row r="12" spans="1:33" s="53" customFormat="1" ht="12">
      <c r="A12" s="58"/>
      <c r="B12" s="70"/>
      <c r="C12" s="78" t="s">
        <v>402</v>
      </c>
      <c r="D12" s="209"/>
      <c r="E12" s="216"/>
      <c r="F12" s="59">
        <f>'NC Users'!C7</f>
        <v>0</v>
      </c>
      <c r="G12" s="59">
        <f>'NC Users'!D7</f>
        <v>2844.2489889162348</v>
      </c>
      <c r="H12" s="59">
        <f>'NC Users'!E7</f>
        <v>2870.5858311259212</v>
      </c>
      <c r="I12" s="59">
        <f>'NC Users'!F7</f>
        <v>2896.9226733356068</v>
      </c>
      <c r="J12" s="59">
        <f>'NC Users'!G7</f>
        <v>2923.2595155452927</v>
      </c>
      <c r="K12" s="59">
        <f>'NC Users'!H7</f>
        <v>2949.5963577549796</v>
      </c>
      <c r="L12" s="59">
        <f>'NC Users'!I7</f>
        <v>2975.9331999646652</v>
      </c>
      <c r="M12" s="59">
        <f>'NC Users'!J7</f>
        <v>3002.2700421743507</v>
      </c>
      <c r="N12" s="59">
        <f>'NC Users'!K7</f>
        <v>2994.5240164475526</v>
      </c>
      <c r="O12" s="59">
        <f>'NC Users'!L7</f>
        <v>2986.7779907207528</v>
      </c>
      <c r="P12" s="59">
        <f>'NC Users'!M7</f>
        <v>2979.0319649939538</v>
      </c>
      <c r="Q12" s="59">
        <f>'NC Users'!N7</f>
        <v>2971.2859392671558</v>
      </c>
      <c r="R12" s="59">
        <f>'NC Users'!O7</f>
        <v>2963.5399135403559</v>
      </c>
      <c r="S12" s="59">
        <f>'NC Users'!P7</f>
        <v>2955.7938878135569</v>
      </c>
      <c r="T12" s="59">
        <f>'NC Users'!Q7</f>
        <v>2948.0478620867575</v>
      </c>
      <c r="U12" s="59">
        <f>'NC Users'!R7</f>
        <v>2940.3018363599581</v>
      </c>
      <c r="V12" s="59">
        <f>'NC Users'!S7</f>
        <v>2932.5558106331587</v>
      </c>
      <c r="W12" s="59">
        <f>'NC Users'!T7</f>
        <v>2924.8097849063593</v>
      </c>
      <c r="X12" s="59">
        <f>'NC Users'!U7</f>
        <v>2841.8161029307171</v>
      </c>
      <c r="Y12" s="59">
        <f>'NC Users'!V7</f>
        <v>2834.2712227511133</v>
      </c>
      <c r="Z12" s="59">
        <f>'NC Users'!W7</f>
        <v>2826.7263425715096</v>
      </c>
      <c r="AA12" s="59">
        <f>'NC Users'!X7</f>
        <v>2819.1814623919054</v>
      </c>
      <c r="AB12" s="59">
        <f>'NC Users'!Y7</f>
        <v>2811.6365822123021</v>
      </c>
      <c r="AC12" s="264">
        <f>'NC Users'!Z7</f>
        <v>2804.0917020326974</v>
      </c>
      <c r="AD12" s="339">
        <f t="shared" si="0"/>
        <v>66997.20903047685</v>
      </c>
    </row>
    <row r="13" spans="1:33" s="53" customFormat="1" ht="12">
      <c r="A13" s="58"/>
      <c r="B13" s="70"/>
      <c r="D13" s="209"/>
      <c r="E13" s="216"/>
      <c r="AC13" s="263"/>
      <c r="AD13" s="339"/>
    </row>
    <row r="14" spans="1:33" s="53" customFormat="1" ht="12">
      <c r="A14" s="58"/>
      <c r="B14" s="5" t="s">
        <v>261</v>
      </c>
      <c r="D14" s="209"/>
      <c r="E14" s="216"/>
      <c r="AC14" s="263"/>
      <c r="AD14" s="339"/>
    </row>
    <row r="15" spans="1:33" s="53" customFormat="1" ht="12">
      <c r="A15" s="58"/>
      <c r="B15" s="70" t="s">
        <v>447</v>
      </c>
      <c r="C15" s="70" t="s">
        <v>350</v>
      </c>
      <c r="D15" s="209"/>
      <c r="E15" s="216"/>
      <c r="F15" s="59">
        <f>'NC Users'!C11</f>
        <v>0</v>
      </c>
      <c r="G15" s="59">
        <f>'NC Users'!D11</f>
        <v>2693.4551277982628</v>
      </c>
      <c r="H15" s="59">
        <f>'NC Users'!E11</f>
        <v>2718.3956667511211</v>
      </c>
      <c r="I15" s="59">
        <f>'NC Users'!F11</f>
        <v>2743.336205703979</v>
      </c>
      <c r="J15" s="59">
        <f>'NC Users'!G11</f>
        <v>2768.2767446568373</v>
      </c>
      <c r="K15" s="59">
        <f>'NC Users'!H11</f>
        <v>2793.2172836096952</v>
      </c>
      <c r="L15" s="59">
        <f>'NC Users'!I11</f>
        <v>2818.1578225625535</v>
      </c>
      <c r="M15" s="59">
        <f>'NC Users'!J11</f>
        <v>2843.0983615154114</v>
      </c>
      <c r="N15" s="59">
        <f>'NC Users'!K11</f>
        <v>2835.763007685558</v>
      </c>
      <c r="O15" s="59">
        <f>'NC Users'!L11</f>
        <v>2828.4276538557042</v>
      </c>
      <c r="P15" s="59">
        <f>'NC Users'!M11</f>
        <v>2821.0923000258504</v>
      </c>
      <c r="Q15" s="59">
        <f>'NC Users'!N11</f>
        <v>2813.756946195997</v>
      </c>
      <c r="R15" s="59">
        <f>'NC Users'!O11</f>
        <v>2806.4215923661432</v>
      </c>
      <c r="S15" s="59">
        <f>'NC Users'!P11</f>
        <v>2799.0862385362898</v>
      </c>
      <c r="T15" s="59">
        <f>'NC Users'!Q11</f>
        <v>2791.750884706436</v>
      </c>
      <c r="U15" s="59">
        <f>'NC Users'!R11</f>
        <v>2784.4155308765812</v>
      </c>
      <c r="V15" s="59">
        <f>'NC Users'!S11</f>
        <v>2777.0801770467274</v>
      </c>
      <c r="W15" s="59">
        <f>'NC Users'!T11</f>
        <v>2769.7448232168736</v>
      </c>
      <c r="X15" s="59">
        <f>'NC Users'!U11</f>
        <v>2691.1512263963191</v>
      </c>
      <c r="Y15" s="59">
        <f>'NC Users'!V11</f>
        <v>2684.0063539580869</v>
      </c>
      <c r="Z15" s="59">
        <f>'NC Users'!W11</f>
        <v>2676.8614815198548</v>
      </c>
      <c r="AA15" s="59">
        <f>'NC Users'!X11</f>
        <v>2669.7166090816227</v>
      </c>
      <c r="AB15" s="59">
        <f>'NC Users'!Y11</f>
        <v>2662.5717366433905</v>
      </c>
      <c r="AC15" s="264">
        <f>'NC Users'!Z11</f>
        <v>2655.4268642051579</v>
      </c>
      <c r="AD15" s="339">
        <f t="shared" si="0"/>
        <v>63445.210638914461</v>
      </c>
      <c r="AG15" s="367"/>
    </row>
    <row r="16" spans="1:33" s="53" customFormat="1" ht="12">
      <c r="A16" s="58"/>
      <c r="B16" s="70" t="s">
        <v>446</v>
      </c>
      <c r="C16" s="54" t="s">
        <v>417</v>
      </c>
      <c r="D16" s="209"/>
      <c r="E16" s="216"/>
      <c r="F16" s="59">
        <f>'NC Users'!C12</f>
        <v>0</v>
      </c>
      <c r="G16" s="59">
        <f>'NC Users'!D12</f>
        <v>53.869102555965256</v>
      </c>
      <c r="H16" s="59">
        <f>'NC Users'!E12</f>
        <v>54.367913335022422</v>
      </c>
      <c r="I16" s="59">
        <f>'NC Users'!F12</f>
        <v>54.866724114079581</v>
      </c>
      <c r="J16" s="59">
        <f>'NC Users'!G12</f>
        <v>55.365534893136747</v>
      </c>
      <c r="K16" s="59">
        <f>'NC Users'!H12</f>
        <v>55.864345672193906</v>
      </c>
      <c r="L16" s="59">
        <f>'NC Users'!I12</f>
        <v>56.363156451251072</v>
      </c>
      <c r="M16" s="59">
        <f>'NC Users'!J12</f>
        <v>56.861967230308231</v>
      </c>
      <c r="N16" s="59">
        <f>'NC Users'!K12</f>
        <v>56.715260153711164</v>
      </c>
      <c r="O16" s="59">
        <f>'NC Users'!L12</f>
        <v>56.568553077114082</v>
      </c>
      <c r="P16" s="59">
        <f>'NC Users'!M12</f>
        <v>56.421846000517007</v>
      </c>
      <c r="Q16" s="59">
        <f>'NC Users'!N12</f>
        <v>56.27513892391994</v>
      </c>
      <c r="R16" s="59">
        <f>'NC Users'!O12</f>
        <v>56.128431847322865</v>
      </c>
      <c r="S16" s="59">
        <f>'NC Users'!P12</f>
        <v>55.981724770725798</v>
      </c>
      <c r="T16" s="59">
        <f>'NC Users'!Q12</f>
        <v>55.835017694128723</v>
      </c>
      <c r="U16" s="59">
        <f>'NC Users'!R12</f>
        <v>55.688310617531627</v>
      </c>
      <c r="V16" s="59">
        <f>'NC Users'!S12</f>
        <v>55.541603540934545</v>
      </c>
      <c r="W16" s="59">
        <f>'NC Users'!T12</f>
        <v>55.394896464337471</v>
      </c>
      <c r="X16" s="59">
        <f>'NC Users'!U12</f>
        <v>53.823024527926385</v>
      </c>
      <c r="Y16" s="59">
        <f>'NC Users'!V12</f>
        <v>53.680127079161743</v>
      </c>
      <c r="Z16" s="59">
        <f>'NC Users'!W12</f>
        <v>53.5372296303971</v>
      </c>
      <c r="AA16" s="59">
        <f>'NC Users'!X12</f>
        <v>53.394332181632457</v>
      </c>
      <c r="AB16" s="59">
        <f>'NC Users'!Y12</f>
        <v>53.251434732867814</v>
      </c>
      <c r="AC16" s="264">
        <f>'NC Users'!Z12</f>
        <v>53.108537284103157</v>
      </c>
      <c r="AD16" s="339">
        <f t="shared" si="0"/>
        <v>1268.9042127782895</v>
      </c>
      <c r="AG16" s="367"/>
    </row>
    <row r="17" spans="1:33" s="53" customFormat="1" ht="12">
      <c r="A17" s="58"/>
      <c r="B17" s="70"/>
      <c r="C17" s="78" t="s">
        <v>411</v>
      </c>
      <c r="D17" s="209"/>
      <c r="E17" s="216"/>
      <c r="F17" s="59">
        <f>'NC Users'!C13</f>
        <v>0</v>
      </c>
      <c r="G17" s="59">
        <f>'NC Users'!D13</f>
        <v>53.869102555965256</v>
      </c>
      <c r="H17" s="59">
        <f>'NC Users'!E13</f>
        <v>54.367913335022422</v>
      </c>
      <c r="I17" s="59">
        <f>'NC Users'!F13</f>
        <v>54.866724114079581</v>
      </c>
      <c r="J17" s="59">
        <f>'NC Users'!G13</f>
        <v>55.365534893136747</v>
      </c>
      <c r="K17" s="59">
        <f>'NC Users'!H13</f>
        <v>55.864345672193906</v>
      </c>
      <c r="L17" s="59">
        <f>'NC Users'!I13</f>
        <v>56.363156451251072</v>
      </c>
      <c r="M17" s="59">
        <f>'NC Users'!J13</f>
        <v>56.861967230308231</v>
      </c>
      <c r="N17" s="59">
        <f>'NC Users'!K13</f>
        <v>56.715260153711164</v>
      </c>
      <c r="O17" s="59">
        <f>'NC Users'!L13</f>
        <v>56.568553077114082</v>
      </c>
      <c r="P17" s="59">
        <f>'NC Users'!M13</f>
        <v>56.421846000517007</v>
      </c>
      <c r="Q17" s="59">
        <f>'NC Users'!N13</f>
        <v>56.27513892391994</v>
      </c>
      <c r="R17" s="59">
        <f>'NC Users'!O13</f>
        <v>56.128431847322865</v>
      </c>
      <c r="S17" s="59">
        <f>'NC Users'!P13</f>
        <v>55.981724770725798</v>
      </c>
      <c r="T17" s="59">
        <f>'NC Users'!Q13</f>
        <v>55.835017694128723</v>
      </c>
      <c r="U17" s="59">
        <f>'NC Users'!R13</f>
        <v>55.688310617531627</v>
      </c>
      <c r="V17" s="59">
        <f>'NC Users'!S13</f>
        <v>55.541603540934545</v>
      </c>
      <c r="W17" s="59">
        <f>'NC Users'!T13</f>
        <v>55.394896464337471</v>
      </c>
      <c r="X17" s="59">
        <f>'NC Users'!U13</f>
        <v>53.823024527926385</v>
      </c>
      <c r="Y17" s="59">
        <f>'NC Users'!V13</f>
        <v>53.680127079161743</v>
      </c>
      <c r="Z17" s="59">
        <f>'NC Users'!W13</f>
        <v>53.5372296303971</v>
      </c>
      <c r="AA17" s="59">
        <f>'NC Users'!X13</f>
        <v>53.394332181632457</v>
      </c>
      <c r="AB17" s="59">
        <f>'NC Users'!Y13</f>
        <v>53.251434732867814</v>
      </c>
      <c r="AC17" s="264">
        <f>'NC Users'!Z13</f>
        <v>53.108537284103157</v>
      </c>
      <c r="AD17" s="339">
        <f t="shared" si="0"/>
        <v>1268.9042127782895</v>
      </c>
      <c r="AG17" s="70"/>
    </row>
    <row r="18" spans="1:33" s="53" customFormat="1" ht="12">
      <c r="A18" s="58"/>
      <c r="B18" s="70"/>
      <c r="C18" s="48"/>
      <c r="D18" s="209"/>
      <c r="E18" s="216"/>
      <c r="AC18" s="263"/>
      <c r="AD18" s="339"/>
      <c r="AG18" s="368"/>
    </row>
    <row r="19" spans="1:33" s="53" customFormat="1" ht="12">
      <c r="A19" s="58"/>
      <c r="B19" s="70"/>
      <c r="C19" s="58" t="s">
        <v>420</v>
      </c>
      <c r="D19" s="209"/>
      <c r="E19" s="216"/>
      <c r="AC19" s="263"/>
      <c r="AD19" s="338"/>
      <c r="AG19" s="288"/>
    </row>
    <row r="20" spans="1:33" s="53" customFormat="1" ht="12">
      <c r="A20" s="58"/>
      <c r="B20" s="70"/>
      <c r="C20" s="78" t="s">
        <v>488</v>
      </c>
      <c r="D20" s="209"/>
      <c r="E20" s="216"/>
      <c r="F20" s="279">
        <f>'NC Users'!C24</f>
        <v>0</v>
      </c>
      <c r="G20" s="279">
        <f>'NC Users'!D24</f>
        <v>5796.2361829444008</v>
      </c>
      <c r="H20" s="279">
        <f>'NC Users'!E24</f>
        <v>5849.9074889218873</v>
      </c>
      <c r="I20" s="279">
        <f>'NC Users'!F24</f>
        <v>5903.578794899372</v>
      </c>
      <c r="J20" s="279">
        <f>'NC Users'!G24</f>
        <v>5957.2501008768595</v>
      </c>
      <c r="K20" s="279">
        <f>'NC Users'!H24</f>
        <v>6010.921406854347</v>
      </c>
      <c r="L20" s="279">
        <f>'NC Users'!I24</f>
        <v>6064.5927128318317</v>
      </c>
      <c r="M20" s="279">
        <f>'NC Users'!J24</f>
        <v>6118.2640188093183</v>
      </c>
      <c r="N20" s="279">
        <f>'NC Users'!K24</f>
        <v>6102.4785532025271</v>
      </c>
      <c r="O20" s="279">
        <f>'NC Users'!L24</f>
        <v>6086.6930875957341</v>
      </c>
      <c r="P20" s="279">
        <f>'NC Users'!M24</f>
        <v>6070.9076219889412</v>
      </c>
      <c r="Q20" s="279">
        <f>'NC Users'!N24</f>
        <v>6055.1221563821518</v>
      </c>
      <c r="R20" s="279">
        <f>'NC Users'!O24</f>
        <v>6039.3366907753571</v>
      </c>
      <c r="S20" s="279">
        <f>'NC Users'!P24</f>
        <v>6023.5512251685659</v>
      </c>
      <c r="T20" s="279">
        <f>'NC Users'!Q24</f>
        <v>6007.765759561772</v>
      </c>
      <c r="U20" s="279">
        <f>'NC Users'!R24</f>
        <v>5991.98029395498</v>
      </c>
      <c r="V20" s="279">
        <f>'NC Users'!S24</f>
        <v>5976.1948283481861</v>
      </c>
      <c r="W20" s="279">
        <f>'NC Users'!T24</f>
        <v>5960.409362741394</v>
      </c>
      <c r="X20" s="279">
        <f>'NC Users'!U24</f>
        <v>5791.2782549172871</v>
      </c>
      <c r="Y20" s="279">
        <f>'NC Users'!V24</f>
        <v>5775.9026996605508</v>
      </c>
      <c r="Z20" s="279">
        <f>'NC Users'!W24</f>
        <v>5760.5271444038126</v>
      </c>
      <c r="AA20" s="279">
        <f>'NC Users'!X24</f>
        <v>5745.1515891470754</v>
      </c>
      <c r="AB20" s="279">
        <f>'NC Users'!Y24</f>
        <v>5729.7760338903399</v>
      </c>
      <c r="AC20" s="384">
        <f>'NC Users'!Z24</f>
        <v>5714.4004786336018</v>
      </c>
      <c r="AD20" s="341">
        <f t="shared" si="0"/>
        <v>136532.22648651031</v>
      </c>
    </row>
    <row r="21" spans="1:33" s="53" customFormat="1" ht="12">
      <c r="A21" s="58"/>
      <c r="B21" s="70"/>
      <c r="C21" s="78" t="s">
        <v>489</v>
      </c>
      <c r="D21" s="209"/>
      <c r="E21" s="216"/>
      <c r="F21" s="279">
        <f>'NC Users'!C25</f>
        <v>0</v>
      </c>
      <c r="G21" s="279">
        <f>'NC Users'!D25</f>
        <v>0</v>
      </c>
      <c r="H21" s="279">
        <f>'NC Users'!E25</f>
        <v>-1078.5026314045679</v>
      </c>
      <c r="I21" s="279">
        <f>'NC Users'!F25</f>
        <v>-1088.3975989467476</v>
      </c>
      <c r="J21" s="279">
        <f>'NC Users'!G25</f>
        <v>-1098.2925664889281</v>
      </c>
      <c r="K21" s="279">
        <f>'NC Users'!H25</f>
        <v>-1108.1875340311085</v>
      </c>
      <c r="L21" s="279">
        <f>'NC Users'!I25</f>
        <v>-1118.0825015732883</v>
      </c>
      <c r="M21" s="279">
        <f>'NC Users'!J25</f>
        <v>-1127.9774691154685</v>
      </c>
      <c r="N21" s="279">
        <f>'NC Users'!K25</f>
        <v>-1125.0672237437066</v>
      </c>
      <c r="O21" s="279">
        <f>'NC Users'!L25</f>
        <v>-1122.1569783719442</v>
      </c>
      <c r="P21" s="279">
        <f>'NC Users'!M25</f>
        <v>-1119.2467330001818</v>
      </c>
      <c r="Q21" s="279">
        <f>'NC Users'!N25</f>
        <v>-1116.3364876284204</v>
      </c>
      <c r="R21" s="279">
        <f>'NC Users'!O25</f>
        <v>-1113.4262422566576</v>
      </c>
      <c r="S21" s="279">
        <f>'NC Users'!P25</f>
        <v>-1110.5159968848957</v>
      </c>
      <c r="T21" s="279">
        <f>'NC Users'!Q25</f>
        <v>-1107.6057515131333</v>
      </c>
      <c r="U21" s="279">
        <f>'NC Users'!R25</f>
        <v>-1104.6955061413712</v>
      </c>
      <c r="V21" s="279">
        <f>'NC Users'!S25</f>
        <v>-1101.7852607696086</v>
      </c>
      <c r="W21" s="279">
        <f>'NC Users'!T25</f>
        <v>-1098.8750153978465</v>
      </c>
      <c r="X21" s="279">
        <f>'NC Users'!U25</f>
        <v>-1067.6936086514834</v>
      </c>
      <c r="Y21" s="279">
        <f>'NC Users'!V25</f>
        <v>-1064.8589353109051</v>
      </c>
      <c r="Z21" s="279">
        <f>'NC Users'!W25</f>
        <v>-1062.0242619703263</v>
      </c>
      <c r="AA21" s="279">
        <f>'NC Users'!X25</f>
        <v>-1059.189588629748</v>
      </c>
      <c r="AB21" s="279">
        <f>'NC Users'!Y25</f>
        <v>-1056.3549152891696</v>
      </c>
      <c r="AC21" s="384">
        <f>'NC Users'!Z25</f>
        <v>-1053.5202419485911</v>
      </c>
      <c r="AD21" s="341">
        <f t="shared" si="0"/>
        <v>-24102.793049068096</v>
      </c>
    </row>
    <row r="22" spans="1:33" s="53" customFormat="1" ht="12">
      <c r="A22" s="58"/>
      <c r="B22" s="70"/>
      <c r="C22" s="78" t="s">
        <v>490</v>
      </c>
      <c r="D22" s="209"/>
      <c r="E22" s="216"/>
      <c r="F22" s="279">
        <f>'NC Users'!C26</f>
        <v>0</v>
      </c>
      <c r="G22" s="279">
        <f>'NC Users'!D26</f>
        <v>-2898.1180914721999</v>
      </c>
      <c r="H22" s="279">
        <f>'NC Users'!E26</f>
        <v>-2924.9537444609437</v>
      </c>
      <c r="I22" s="279">
        <f>'NC Users'!F26</f>
        <v>-2951.7893974496865</v>
      </c>
      <c r="J22" s="279">
        <f>'NC Users'!G26</f>
        <v>-2978.6250504384293</v>
      </c>
      <c r="K22" s="279">
        <f>'NC Users'!H26</f>
        <v>-3005.4607034271735</v>
      </c>
      <c r="L22" s="279">
        <f>'NC Users'!I26</f>
        <v>-3032.2963564159163</v>
      </c>
      <c r="M22" s="279">
        <f>'NC Users'!J26</f>
        <v>-3059.1320094046591</v>
      </c>
      <c r="N22" s="279">
        <f>'NC Users'!K26</f>
        <v>-3051.239276601264</v>
      </c>
      <c r="O22" s="279">
        <f>'NC Users'!L26</f>
        <v>-3043.3465437978671</v>
      </c>
      <c r="P22" s="279">
        <f>'NC Users'!M26</f>
        <v>-3035.4538109944706</v>
      </c>
      <c r="Q22" s="279">
        <f>'NC Users'!N26</f>
        <v>-3027.5610781910755</v>
      </c>
      <c r="R22" s="279">
        <f>'NC Users'!O26</f>
        <v>-3019.6683453876785</v>
      </c>
      <c r="S22" s="279">
        <f>'NC Users'!P26</f>
        <v>-3011.7756125842825</v>
      </c>
      <c r="T22" s="279">
        <f>'NC Users'!Q26</f>
        <v>-3003.882879780886</v>
      </c>
      <c r="U22" s="279">
        <f>'NC Users'!R26</f>
        <v>-2995.9901469774895</v>
      </c>
      <c r="V22" s="279">
        <f>'NC Users'!S26</f>
        <v>-2988.097414174093</v>
      </c>
      <c r="W22" s="279">
        <f>'NC Users'!T26</f>
        <v>-2980.2046813706966</v>
      </c>
      <c r="X22" s="279">
        <f>'NC Users'!U26</f>
        <v>-2895.6391274586435</v>
      </c>
      <c r="Y22" s="279">
        <f>'NC Users'!V26</f>
        <v>-2887.9513498302749</v>
      </c>
      <c r="Z22" s="279">
        <f>'NC Users'!W26</f>
        <v>-2880.2635722019068</v>
      </c>
      <c r="AA22" s="279">
        <f>'NC Users'!X26</f>
        <v>-2872.5757945735377</v>
      </c>
      <c r="AB22" s="279">
        <f>'NC Users'!Y26</f>
        <v>-2864.88801694517</v>
      </c>
      <c r="AC22" s="384">
        <f>'NC Users'!Z26</f>
        <v>-2857.2002393168004</v>
      </c>
      <c r="AD22" s="341">
        <f t="shared" si="0"/>
        <v>-68266.113243255153</v>
      </c>
    </row>
    <row r="23" spans="1:33" s="53" customFormat="1" ht="12">
      <c r="A23" s="58"/>
      <c r="B23" s="70"/>
      <c r="C23" s="78" t="s">
        <v>491</v>
      </c>
      <c r="D23" s="209"/>
      <c r="E23" s="216"/>
      <c r="F23" s="279">
        <f>'NC Users'!C27</f>
        <v>0</v>
      </c>
      <c r="G23" s="279">
        <f>'NC Users'!D27</f>
        <v>-18837.767594569301</v>
      </c>
      <c r="H23" s="279">
        <f>'NC Users'!E27</f>
        <v>-19012.199338996135</v>
      </c>
      <c r="I23" s="279">
        <f>'NC Users'!F27</f>
        <v>-19186.631083422963</v>
      </c>
      <c r="J23" s="279">
        <f>'NC Users'!G27</f>
        <v>-19361.06282784979</v>
      </c>
      <c r="K23" s="279">
        <f>'NC Users'!H27</f>
        <v>-19535.494572276628</v>
      </c>
      <c r="L23" s="279">
        <f>'NC Users'!I27</f>
        <v>-19709.926316703455</v>
      </c>
      <c r="M23" s="279">
        <f>'NC Users'!J27</f>
        <v>-19884.358061130286</v>
      </c>
      <c r="N23" s="279">
        <f>'NC Users'!K27</f>
        <v>-19833.055297908217</v>
      </c>
      <c r="O23" s="279">
        <f>'NC Users'!L27</f>
        <v>-19781.752534686137</v>
      </c>
      <c r="P23" s="279">
        <f>'NC Users'!M27</f>
        <v>-19730.44977146406</v>
      </c>
      <c r="Q23" s="279">
        <f>'NC Users'!N27</f>
        <v>-19679.147008241991</v>
      </c>
      <c r="R23" s="279">
        <f>'NC Users'!O27</f>
        <v>-19627.844245019911</v>
      </c>
      <c r="S23" s="279">
        <f>'NC Users'!P27</f>
        <v>-19576.541481797838</v>
      </c>
      <c r="T23" s="279">
        <f>'NC Users'!Q27</f>
        <v>-19525.238718575758</v>
      </c>
      <c r="U23" s="279">
        <f>'NC Users'!R27</f>
        <v>-19473.935955353681</v>
      </c>
      <c r="V23" s="279">
        <f>'NC Users'!S27</f>
        <v>-19422.633192131605</v>
      </c>
      <c r="W23" s="279">
        <f>'NC Users'!T27</f>
        <v>-19371.330428909529</v>
      </c>
      <c r="X23" s="279">
        <f>'NC Users'!U27</f>
        <v>-18821.654328481181</v>
      </c>
      <c r="Y23" s="279">
        <f>'NC Users'!V27</f>
        <v>-18771.683773896788</v>
      </c>
      <c r="Z23" s="279">
        <f>'NC Users'!W27</f>
        <v>-18721.713219312394</v>
      </c>
      <c r="AA23" s="279">
        <f>'NC Users'!X27</f>
        <v>-18671.742664727994</v>
      </c>
      <c r="AB23" s="279">
        <f>'NC Users'!Y27</f>
        <v>-18621.772110143604</v>
      </c>
      <c r="AC23" s="384">
        <f>'NC Users'!Z27</f>
        <v>-18571.801555559203</v>
      </c>
      <c r="AD23" s="341">
        <f t="shared" si="0"/>
        <v>-443729.73608115839</v>
      </c>
    </row>
    <row r="24" spans="1:33" s="53" customFormat="1" ht="12">
      <c r="A24" s="58"/>
      <c r="B24" s="70"/>
      <c r="C24" s="54" t="s">
        <v>492</v>
      </c>
      <c r="D24" s="209"/>
      <c r="E24" s="216"/>
      <c r="F24" s="435">
        <f>'NC Users'!C28</f>
        <v>0</v>
      </c>
      <c r="G24" s="435">
        <f>'NC Users'!D28</f>
        <v>3319.6459544951786</v>
      </c>
      <c r="H24" s="435">
        <f>'NC Users'!E28</f>
        <v>3274.8771281748836</v>
      </c>
      <c r="I24" s="435">
        <f>'NC Users'!F28</f>
        <v>3232.0817384397419</v>
      </c>
      <c r="J24" s="435">
        <f>'NC Users'!G28</f>
        <v>3191.1321138133717</v>
      </c>
      <c r="K24" s="435">
        <f>'NC Users'!H28</f>
        <v>3151.9113632800163</v>
      </c>
      <c r="L24" s="435">
        <f>'NC Users'!I28</f>
        <v>3114.3122619429546</v>
      </c>
      <c r="M24" s="435">
        <f>'NC Users'!J28</f>
        <v>3078.2362721063619</v>
      </c>
      <c r="N24" s="435">
        <f>'NC Users'!K28</f>
        <v>3009.3411681838943</v>
      </c>
      <c r="O24" s="435">
        <f>'NC Users'!L28</f>
        <v>2999.9673492897055</v>
      </c>
      <c r="P24" s="435">
        <f>'NC Users'!M28</f>
        <v>2990.6034528951059</v>
      </c>
      <c r="Q24" s="435">
        <f>'NC Users'!N28</f>
        <v>2981.2494632534845</v>
      </c>
      <c r="R24" s="435">
        <f>'NC Users'!O28</f>
        <v>2971.9053646515308</v>
      </c>
      <c r="S24" s="435">
        <f>'NC Users'!P28</f>
        <v>2962.5711414091511</v>
      </c>
      <c r="T24" s="435">
        <f>'NC Users'!Q28</f>
        <v>2953.2467778793739</v>
      </c>
      <c r="U24" s="435">
        <f>'NC Users'!R28</f>
        <v>2943.9322584482679</v>
      </c>
      <c r="V24" s="435">
        <f>'NC Users'!S28</f>
        <v>2934.6275675348534</v>
      </c>
      <c r="W24" s="435">
        <f>'NC Users'!T28</f>
        <v>2925.3326895910127</v>
      </c>
      <c r="X24" s="435">
        <f>'NC Users'!U28</f>
        <v>2840.8261651393336</v>
      </c>
      <c r="Y24" s="435">
        <f>'NC Users'!V28</f>
        <v>2831.7914596419027</v>
      </c>
      <c r="Z24" s="435">
        <f>'NC Users'!W28</f>
        <v>2822.7662673311079</v>
      </c>
      <c r="AA24" s="435">
        <f>'NC Users'!X28</f>
        <v>2813.7505731893407</v>
      </c>
      <c r="AB24" s="435">
        <f>'NC Users'!Y28</f>
        <v>2804.7443622305914</v>
      </c>
      <c r="AC24" s="436">
        <f>'NC Users'!Z28</f>
        <v>2795.7476195003533</v>
      </c>
      <c r="AD24" s="342">
        <f t="shared" si="0"/>
        <v>68944.600512421515</v>
      </c>
    </row>
    <row r="25" spans="1:33" s="53" customFormat="1" ht="12">
      <c r="A25" s="58"/>
      <c r="B25" s="70"/>
      <c r="C25" s="66"/>
      <c r="D25" s="209"/>
      <c r="E25" s="216"/>
      <c r="H25" s="59"/>
      <c r="I25" s="59"/>
      <c r="J25" s="59"/>
      <c r="K25" s="59"/>
      <c r="L25" s="59"/>
      <c r="M25" s="59"/>
      <c r="N25" s="59"/>
      <c r="O25" s="59"/>
      <c r="P25" s="59"/>
      <c r="Q25" s="59"/>
      <c r="R25" s="59"/>
      <c r="S25" s="59"/>
      <c r="T25" s="59"/>
      <c r="U25" s="59"/>
      <c r="V25" s="59"/>
      <c r="W25" s="59"/>
      <c r="X25" s="59"/>
      <c r="Y25" s="59"/>
      <c r="AC25" s="263"/>
      <c r="AD25" s="338"/>
    </row>
    <row r="26" spans="1:33" s="53" customFormat="1" ht="12">
      <c r="A26" s="58" t="s">
        <v>230</v>
      </c>
      <c r="B26" s="58"/>
      <c r="D26" s="209"/>
      <c r="E26" s="216"/>
      <c r="H26" s="59"/>
      <c r="I26" s="59"/>
      <c r="J26" s="59"/>
      <c r="K26" s="59"/>
      <c r="L26" s="59"/>
      <c r="M26" s="59"/>
      <c r="N26" s="59"/>
      <c r="O26" s="59"/>
      <c r="P26" s="59"/>
      <c r="Q26" s="59"/>
      <c r="R26" s="59"/>
      <c r="S26" s="59"/>
      <c r="T26" s="59"/>
      <c r="U26" s="59"/>
      <c r="V26" s="59"/>
      <c r="W26" s="59"/>
      <c r="X26" s="59"/>
      <c r="Y26" s="59"/>
      <c r="AC26" s="263"/>
      <c r="AD26" s="338"/>
    </row>
    <row r="27" spans="1:33" s="53" customFormat="1" ht="12">
      <c r="A27" s="58"/>
      <c r="B27" s="5" t="s">
        <v>353</v>
      </c>
      <c r="D27" s="209"/>
      <c r="E27" s="216"/>
      <c r="H27" s="59"/>
      <c r="I27" s="59"/>
      <c r="J27" s="59"/>
      <c r="K27" s="59"/>
      <c r="L27" s="59"/>
      <c r="M27" s="59"/>
      <c r="N27" s="59"/>
      <c r="O27" s="59"/>
      <c r="P27" s="59"/>
      <c r="Q27" s="59"/>
      <c r="R27" s="59"/>
      <c r="S27" s="59"/>
      <c r="T27" s="59"/>
      <c r="U27" s="59"/>
      <c r="V27" s="59"/>
      <c r="W27" s="59"/>
      <c r="X27" s="59"/>
      <c r="Y27" s="59"/>
      <c r="AC27" s="263"/>
      <c r="AD27" s="338"/>
    </row>
    <row r="28" spans="1:33" s="53" customFormat="1" ht="12">
      <c r="A28" s="58"/>
      <c r="B28" s="70" t="s">
        <v>354</v>
      </c>
      <c r="C28" s="70" t="s">
        <v>350</v>
      </c>
      <c r="D28" s="209"/>
      <c r="E28" s="216"/>
      <c r="F28" s="434">
        <f>'NC Users'!C18</f>
        <v>0</v>
      </c>
      <c r="G28" s="434">
        <f>'NC Users'!D18</f>
        <v>5514534.4513996178</v>
      </c>
      <c r="H28" s="434">
        <f>'NC Users'!E18</f>
        <v>0</v>
      </c>
      <c r="I28" s="434">
        <f>'NC Users'!F18</f>
        <v>0</v>
      </c>
      <c r="J28" s="434">
        <f>'NC Users'!G18</f>
        <v>0</v>
      </c>
      <c r="K28" s="434">
        <f>'NC Users'!H18</f>
        <v>0</v>
      </c>
      <c r="L28" s="434">
        <f>'NC Users'!I18</f>
        <v>0</v>
      </c>
      <c r="M28" s="434">
        <f>'NC Users'!J18</f>
        <v>0</v>
      </c>
      <c r="N28" s="434">
        <f>'NC Users'!K18</f>
        <v>0</v>
      </c>
      <c r="O28" s="434">
        <f>'NC Users'!L18</f>
        <v>0</v>
      </c>
      <c r="P28" s="434">
        <f>'NC Users'!M18</f>
        <v>0</v>
      </c>
      <c r="Q28" s="434">
        <f>'NC Users'!N18</f>
        <v>0</v>
      </c>
      <c r="R28" s="434">
        <f>'NC Users'!O18</f>
        <v>0</v>
      </c>
      <c r="S28" s="434">
        <f>'NC Users'!P18</f>
        <v>0</v>
      </c>
      <c r="T28" s="434">
        <f>'NC Users'!Q18</f>
        <v>0</v>
      </c>
      <c r="U28" s="434">
        <f>'NC Users'!R18</f>
        <v>0</v>
      </c>
      <c r="V28" s="434">
        <f>'NC Users'!S18</f>
        <v>0</v>
      </c>
      <c r="W28" s="434">
        <f>'NC Users'!T18</f>
        <v>0</v>
      </c>
      <c r="X28" s="434">
        <f>'NC Users'!U18</f>
        <v>0</v>
      </c>
      <c r="Y28" s="434">
        <f>'NC Users'!V18</f>
        <v>0</v>
      </c>
      <c r="Z28" s="434">
        <f>'NC Users'!W18</f>
        <v>0</v>
      </c>
      <c r="AA28" s="434">
        <f>'NC Users'!X18</f>
        <v>0</v>
      </c>
      <c r="AB28" s="434">
        <f>'NC Users'!Y18</f>
        <v>0</v>
      </c>
      <c r="AC28" s="437">
        <f>'NC Users'!Z18</f>
        <v>0</v>
      </c>
      <c r="AD28" s="343">
        <f t="shared" si="0"/>
        <v>5514534.4513996178</v>
      </c>
    </row>
    <row r="29" spans="1:33" s="53" customFormat="1" ht="12">
      <c r="A29" s="58"/>
      <c r="B29" s="70" t="s">
        <v>355</v>
      </c>
      <c r="C29" s="70" t="s">
        <v>513</v>
      </c>
      <c r="D29" s="209"/>
      <c r="E29" s="216"/>
      <c r="F29" s="434">
        <f>'NC Users'!C19</f>
        <v>0</v>
      </c>
      <c r="G29" s="434">
        <f>'NC Users'!D19</f>
        <v>-1449.0590457361</v>
      </c>
      <c r="H29" s="434">
        <f>'NC Users'!E19</f>
        <v>-1462.4768722304718</v>
      </c>
      <c r="I29" s="434">
        <f>'NC Users'!F19</f>
        <v>-1475.8946987248432</v>
      </c>
      <c r="J29" s="434">
        <f>'NC Users'!G19</f>
        <v>-1489.3125252192146</v>
      </c>
      <c r="K29" s="434">
        <f>'NC Users'!H19</f>
        <v>-1502.7303517135867</v>
      </c>
      <c r="L29" s="434">
        <f>'NC Users'!I19</f>
        <v>-1516.1481782079582</v>
      </c>
      <c r="M29" s="434">
        <f>'NC Users'!J19</f>
        <v>-1529.5660047023296</v>
      </c>
      <c r="N29" s="434">
        <f>'NC Users'!K19</f>
        <v>-1525.619638300632</v>
      </c>
      <c r="O29" s="434">
        <f>'NC Users'!L19</f>
        <v>-1521.6732718989335</v>
      </c>
      <c r="P29" s="434">
        <f>'NC Users'!M19</f>
        <v>-1517.7269054972353</v>
      </c>
      <c r="Q29" s="434">
        <f>'NC Users'!N19</f>
        <v>-1513.7805390955377</v>
      </c>
      <c r="R29" s="434">
        <f>'NC Users'!O19</f>
        <v>-1509.8341726938393</v>
      </c>
      <c r="S29" s="434">
        <f>'NC Users'!P19</f>
        <v>-1505.8878062921412</v>
      </c>
      <c r="T29" s="434">
        <f>'NC Users'!Q19</f>
        <v>-1501.941439890443</v>
      </c>
      <c r="U29" s="434">
        <f>'NC Users'!R19</f>
        <v>-1497.9950734887448</v>
      </c>
      <c r="V29" s="434">
        <f>'NC Users'!S19</f>
        <v>-1494.0487070870465</v>
      </c>
      <c r="W29" s="434">
        <f>'NC Users'!T19</f>
        <v>-1490.1023406853483</v>
      </c>
      <c r="X29" s="434">
        <f>'NC Users'!U19</f>
        <v>-1447.8195637293218</v>
      </c>
      <c r="Y29" s="434">
        <f>'NC Users'!V19</f>
        <v>-1443.9756749151375</v>
      </c>
      <c r="Z29" s="434">
        <f>'NC Users'!W19</f>
        <v>-1440.1317861009534</v>
      </c>
      <c r="AA29" s="434">
        <f>'NC Users'!X19</f>
        <v>-1436.2878972867688</v>
      </c>
      <c r="AB29" s="434">
        <f>'NC Users'!Y19</f>
        <v>-1432.444008472585</v>
      </c>
      <c r="AC29" s="437">
        <f>'NC Users'!Z19</f>
        <v>-1428.6001196584002</v>
      </c>
      <c r="AD29" s="341">
        <f t="shared" si="0"/>
        <v>-34133.056621627577</v>
      </c>
    </row>
    <row r="30" spans="1:33" s="53" customFormat="1" ht="12">
      <c r="A30" s="58"/>
      <c r="B30" s="70"/>
      <c r="C30" s="70" t="s">
        <v>652</v>
      </c>
      <c r="D30" s="209"/>
      <c r="E30" s="216"/>
      <c r="F30" s="434">
        <f>'NC Users'!C20</f>
        <v>0</v>
      </c>
      <c r="G30" s="434">
        <f>'NC Users'!D20</f>
        <v>0</v>
      </c>
      <c r="H30" s="434">
        <f>'NC Users'!E20</f>
        <v>5564134.8119485686</v>
      </c>
      <c r="I30" s="434">
        <f>'NC Users'!F20</f>
        <v>5615184.231543255</v>
      </c>
      <c r="J30" s="434">
        <f>'NC Users'!G20</f>
        <v>5666233.6511379415</v>
      </c>
      <c r="K30" s="434">
        <f>'NC Users'!H20</f>
        <v>5717283.0707326299</v>
      </c>
      <c r="L30" s="434">
        <f>'NC Users'!I20</f>
        <v>5768332.4903273163</v>
      </c>
      <c r="M30" s="434">
        <f>'NC Users'!J20</f>
        <v>5819381.9099220028</v>
      </c>
      <c r="N30" s="434">
        <f>'NC Users'!K20</f>
        <v>5804367.5769822272</v>
      </c>
      <c r="O30" s="434">
        <f>'NC Users'!L20</f>
        <v>5789353.2440424487</v>
      </c>
      <c r="P30" s="434">
        <f>'NC Users'!M20</f>
        <v>5774338.9111026721</v>
      </c>
      <c r="Q30" s="434">
        <f>'NC Users'!N20</f>
        <v>5759324.5781628964</v>
      </c>
      <c r="R30" s="434">
        <f>'NC Users'!O20</f>
        <v>5744310.2452231171</v>
      </c>
      <c r="S30" s="434">
        <f>'NC Users'!P20</f>
        <v>5729295.9122833395</v>
      </c>
      <c r="T30" s="434">
        <f>'NC Users'!Q20</f>
        <v>5714281.5793435629</v>
      </c>
      <c r="U30" s="434">
        <f>'NC Users'!R20</f>
        <v>5699267.2464037836</v>
      </c>
      <c r="V30" s="434">
        <f>'NC Users'!S20</f>
        <v>5684252.913464006</v>
      </c>
      <c r="W30" s="434">
        <f>'NC Users'!T20</f>
        <v>5669238.5805242285</v>
      </c>
      <c r="X30" s="434">
        <f>'NC Users'!U20</f>
        <v>5508369.663090976</v>
      </c>
      <c r="Y30" s="434">
        <f>'NC Users'!V20</f>
        <v>5493745.2160515897</v>
      </c>
      <c r="Z30" s="434">
        <f>'NC Users'!W20</f>
        <v>5479120.7690122034</v>
      </c>
      <c r="AA30" s="434">
        <f>'NC Users'!X20</f>
        <v>5464496.3219728163</v>
      </c>
      <c r="AB30" s="434">
        <f>'NC Users'!Y20</f>
        <v>5449871.87493343</v>
      </c>
      <c r="AC30" s="437">
        <f>'NC Users'!Z20</f>
        <v>5435247.4278940428</v>
      </c>
      <c r="AD30" s="343">
        <f t="shared" si="0"/>
        <v>124349432.22609907</v>
      </c>
    </row>
    <row r="31" spans="1:33" s="53" customFormat="1" ht="12">
      <c r="A31" s="58"/>
      <c r="B31" s="58"/>
      <c r="D31" s="209"/>
      <c r="E31" s="216"/>
      <c r="AC31" s="263"/>
      <c r="AD31" s="338"/>
    </row>
    <row r="32" spans="1:33" s="53" customFormat="1" ht="12">
      <c r="A32" s="58"/>
      <c r="B32" s="58"/>
      <c r="D32" s="209"/>
      <c r="E32" s="216"/>
      <c r="H32" s="59"/>
      <c r="I32" s="59"/>
      <c r="J32" s="59"/>
      <c r="K32" s="59"/>
      <c r="L32" s="59"/>
      <c r="M32" s="59"/>
      <c r="N32" s="59"/>
      <c r="O32" s="59"/>
      <c r="P32" s="59"/>
      <c r="Q32" s="59"/>
      <c r="R32" s="59"/>
      <c r="S32" s="59"/>
      <c r="T32" s="59"/>
      <c r="U32" s="59"/>
      <c r="V32" s="59"/>
      <c r="W32" s="59"/>
      <c r="X32" s="59"/>
      <c r="Y32" s="59"/>
      <c r="AC32" s="263"/>
      <c r="AD32" s="338"/>
    </row>
    <row r="33" spans="1:30" s="53" customFormat="1" ht="12">
      <c r="A33" s="58" t="s">
        <v>348</v>
      </c>
      <c r="B33" s="58"/>
      <c r="D33" s="209"/>
      <c r="E33" s="216"/>
      <c r="H33" s="59"/>
      <c r="I33" s="59"/>
      <c r="J33" s="59"/>
      <c r="K33" s="59"/>
      <c r="L33" s="59"/>
      <c r="M33" s="59"/>
      <c r="N33" s="59"/>
      <c r="O33" s="59"/>
      <c r="P33" s="59"/>
      <c r="Q33" s="59"/>
      <c r="R33" s="59"/>
      <c r="S33" s="59"/>
      <c r="T33" s="59"/>
      <c r="U33" s="59"/>
      <c r="V33" s="59"/>
      <c r="W33" s="59"/>
      <c r="X33" s="59"/>
      <c r="Y33" s="59"/>
      <c r="AC33" s="263"/>
      <c r="AD33" s="338"/>
    </row>
    <row r="34" spans="1:30" s="53" customFormat="1" ht="12">
      <c r="A34" s="58"/>
      <c r="B34" s="58"/>
      <c r="C34" s="197" t="s">
        <v>349</v>
      </c>
      <c r="D34" s="209"/>
      <c r="E34" s="216"/>
      <c r="H34" s="59"/>
      <c r="I34" s="59"/>
      <c r="J34" s="59"/>
      <c r="K34" s="59"/>
      <c r="L34" s="59"/>
      <c r="M34" s="59"/>
      <c r="N34" s="59"/>
      <c r="O34" s="59"/>
      <c r="P34" s="59"/>
      <c r="Q34" s="59"/>
      <c r="R34" s="59"/>
      <c r="S34" s="59"/>
      <c r="T34" s="59"/>
      <c r="U34" s="59"/>
      <c r="V34" s="59"/>
      <c r="W34" s="59"/>
      <c r="X34" s="59"/>
      <c r="Y34" s="59"/>
      <c r="AC34" s="263"/>
      <c r="AD34" s="338"/>
    </row>
    <row r="35" spans="1:30" s="53" customFormat="1" ht="12">
      <c r="A35" s="58"/>
      <c r="B35" s="58"/>
      <c r="D35" s="209"/>
      <c r="E35" s="216"/>
      <c r="H35" s="59"/>
      <c r="I35" s="59"/>
      <c r="J35" s="59"/>
      <c r="K35" s="59"/>
      <c r="L35" s="59"/>
      <c r="M35" s="59"/>
      <c r="N35" s="59"/>
      <c r="O35" s="59"/>
      <c r="P35" s="59"/>
      <c r="Q35" s="59"/>
      <c r="R35" s="59"/>
      <c r="S35" s="59"/>
      <c r="T35" s="59"/>
      <c r="U35" s="59"/>
      <c r="V35" s="59"/>
      <c r="W35" s="59"/>
      <c r="X35" s="59"/>
      <c r="Y35" s="59"/>
      <c r="AC35" s="263"/>
      <c r="AD35" s="338"/>
    </row>
    <row r="36" spans="1:30" s="53" customFormat="1" ht="12">
      <c r="A36" s="58"/>
      <c r="B36" s="58"/>
      <c r="D36" s="209"/>
      <c r="E36" s="216"/>
      <c r="H36" s="59"/>
      <c r="I36" s="59"/>
      <c r="J36" s="59"/>
      <c r="K36" s="59"/>
      <c r="L36" s="59"/>
      <c r="M36" s="59"/>
      <c r="N36" s="59"/>
      <c r="O36" s="59"/>
      <c r="P36" s="59"/>
      <c r="Q36" s="59"/>
      <c r="R36" s="59"/>
      <c r="S36" s="59"/>
      <c r="T36" s="59"/>
      <c r="U36" s="59"/>
      <c r="V36" s="59"/>
      <c r="W36" s="59"/>
      <c r="X36" s="59"/>
      <c r="Y36" s="59"/>
      <c r="AC36" s="263"/>
      <c r="AD36" s="338"/>
    </row>
    <row r="37" spans="1:30" s="53" customFormat="1" ht="12">
      <c r="A37" s="58"/>
      <c r="B37" s="58"/>
      <c r="C37" s="45"/>
      <c r="D37" s="210"/>
      <c r="E37" s="216"/>
      <c r="F37" s="59"/>
      <c r="G37" s="59"/>
      <c r="H37" s="59"/>
      <c r="I37" s="59"/>
      <c r="J37" s="59"/>
      <c r="K37" s="59"/>
      <c r="L37" s="59"/>
      <c r="M37" s="59"/>
      <c r="N37" s="59"/>
      <c r="O37" s="59"/>
      <c r="P37" s="59"/>
      <c r="Q37" s="59"/>
      <c r="R37" s="59"/>
      <c r="S37" s="59"/>
      <c r="T37" s="59"/>
      <c r="U37" s="59"/>
      <c r="V37" s="59"/>
      <c r="W37" s="59"/>
      <c r="X37" s="59"/>
      <c r="Y37" s="59"/>
      <c r="AC37" s="263"/>
      <c r="AD37" s="338"/>
    </row>
    <row r="38" spans="1:30" s="53" customFormat="1" ht="12">
      <c r="A38" s="44" t="s">
        <v>346</v>
      </c>
      <c r="B38" s="44"/>
      <c r="C38" s="45"/>
      <c r="D38" s="210"/>
      <c r="E38" s="217"/>
      <c r="F38" s="45"/>
      <c r="G38" s="59"/>
      <c r="H38" s="59"/>
      <c r="I38" s="59"/>
      <c r="J38" s="59"/>
      <c r="K38" s="59"/>
      <c r="L38" s="59"/>
      <c r="M38" s="59"/>
      <c r="N38" s="59"/>
      <c r="O38" s="59"/>
      <c r="P38" s="59"/>
      <c r="Q38" s="59"/>
      <c r="R38" s="59"/>
      <c r="S38" s="59"/>
      <c r="T38" s="59"/>
      <c r="U38" s="59"/>
      <c r="V38" s="59"/>
      <c r="W38" s="59"/>
      <c r="X38" s="59"/>
      <c r="Y38" s="59"/>
      <c r="AC38" s="263"/>
      <c r="AD38" s="338"/>
    </row>
    <row r="39" spans="1:30" s="53" customFormat="1" ht="12">
      <c r="A39" s="44"/>
      <c r="B39" s="44"/>
      <c r="C39" s="45"/>
      <c r="D39" s="210"/>
      <c r="E39" s="217"/>
      <c r="F39" s="45"/>
      <c r="G39" s="59"/>
      <c r="H39" s="59"/>
      <c r="I39" s="59"/>
      <c r="J39" s="59"/>
      <c r="K39" s="59"/>
      <c r="L39" s="59"/>
      <c r="M39" s="59"/>
      <c r="N39" s="59"/>
      <c r="O39" s="59"/>
      <c r="P39" s="59"/>
      <c r="Q39" s="59"/>
      <c r="R39" s="59"/>
      <c r="S39" s="59"/>
      <c r="T39" s="59"/>
      <c r="U39" s="59"/>
      <c r="V39" s="59"/>
      <c r="W39" s="59"/>
      <c r="X39" s="59"/>
      <c r="Y39" s="59"/>
      <c r="AC39" s="263"/>
      <c r="AD39" s="338"/>
    </row>
    <row r="40" spans="1:30" s="53" customFormat="1" ht="12">
      <c r="A40" s="44"/>
      <c r="B40" s="5" t="s">
        <v>351</v>
      </c>
      <c r="C40" s="45"/>
      <c r="D40" s="210"/>
      <c r="E40" s="217"/>
      <c r="F40" s="45"/>
      <c r="G40" s="59"/>
      <c r="H40" s="59"/>
      <c r="I40" s="59"/>
      <c r="J40" s="59"/>
      <c r="K40" s="59"/>
      <c r="L40" s="59"/>
      <c r="M40" s="59"/>
      <c r="N40" s="59"/>
      <c r="O40" s="59"/>
      <c r="P40" s="59"/>
      <c r="Q40" s="59"/>
      <c r="R40" s="59"/>
      <c r="S40" s="59"/>
      <c r="T40" s="59"/>
      <c r="U40" s="59"/>
      <c r="V40" s="59"/>
      <c r="W40" s="59"/>
      <c r="X40" s="59"/>
      <c r="Y40" s="59"/>
      <c r="AC40" s="263"/>
      <c r="AD40" s="338"/>
    </row>
    <row r="41" spans="1:30" s="53" customFormat="1" ht="12">
      <c r="A41" s="44"/>
      <c r="B41" s="250" t="s">
        <v>447</v>
      </c>
      <c r="C41" s="70" t="s">
        <v>350</v>
      </c>
      <c r="D41" s="210"/>
      <c r="E41" s="217"/>
      <c r="F41" s="45"/>
      <c r="G41" s="59"/>
      <c r="H41" s="59"/>
      <c r="I41" s="59"/>
      <c r="J41" s="59"/>
      <c r="K41" s="59"/>
      <c r="L41" s="59"/>
      <c r="M41" s="59"/>
      <c r="N41" s="59"/>
      <c r="O41" s="59"/>
      <c r="P41" s="59"/>
      <c r="Q41" s="59"/>
      <c r="R41" s="59"/>
      <c r="S41" s="59"/>
      <c r="T41" s="59"/>
      <c r="U41" s="59"/>
      <c r="V41" s="59"/>
      <c r="W41" s="59"/>
      <c r="X41" s="59"/>
      <c r="Y41" s="59"/>
      <c r="AC41" s="263"/>
      <c r="AD41" s="338"/>
    </row>
    <row r="42" spans="1:30" s="53" customFormat="1" ht="12">
      <c r="A42" s="44"/>
      <c r="C42" s="63" t="s">
        <v>131</v>
      </c>
      <c r="D42" s="210"/>
      <c r="E42" s="217"/>
      <c r="F42" s="45"/>
      <c r="G42" s="59"/>
      <c r="H42" s="59"/>
      <c r="I42" s="59"/>
      <c r="J42" s="59"/>
      <c r="K42" s="59"/>
      <c r="L42" s="59"/>
      <c r="M42" s="59"/>
      <c r="N42" s="59"/>
      <c r="O42" s="59"/>
      <c r="P42" s="59"/>
      <c r="Q42" s="59"/>
      <c r="R42" s="59"/>
      <c r="S42" s="59"/>
      <c r="T42" s="59"/>
      <c r="U42" s="59"/>
      <c r="V42" s="59"/>
      <c r="W42" s="59"/>
      <c r="X42" s="59"/>
      <c r="Y42" s="59"/>
      <c r="AC42" s="263"/>
      <c r="AD42" s="338"/>
    </row>
    <row r="43" spans="1:30" s="53" customFormat="1" ht="12">
      <c r="A43" s="44"/>
      <c r="C43" s="226" t="s">
        <v>412</v>
      </c>
      <c r="D43" s="247">
        <f>30/3600</f>
        <v>8.3333333333333332E-3</v>
      </c>
      <c r="E43" s="217"/>
      <c r="F43" s="45"/>
      <c r="G43" s="59"/>
      <c r="H43" s="59"/>
      <c r="I43" s="59"/>
      <c r="J43" s="59"/>
      <c r="K43" s="59"/>
      <c r="L43" s="59"/>
      <c r="M43" s="59"/>
      <c r="N43" s="59"/>
      <c r="O43" s="59"/>
      <c r="P43" s="59"/>
      <c r="Q43" s="59"/>
      <c r="R43" s="59"/>
      <c r="S43" s="59"/>
      <c r="T43" s="59"/>
      <c r="U43" s="59"/>
      <c r="V43" s="59"/>
      <c r="W43" s="59"/>
      <c r="X43" s="59"/>
      <c r="Y43" s="59"/>
      <c r="AC43" s="263"/>
      <c r="AD43" s="338"/>
    </row>
    <row r="44" spans="1:30" s="53" customFormat="1" ht="12">
      <c r="A44" s="44"/>
      <c r="C44" s="224" t="s">
        <v>403</v>
      </c>
      <c r="D44" s="253">
        <v>26.21</v>
      </c>
      <c r="E44" s="217"/>
      <c r="F44" s="45"/>
      <c r="G44" s="59"/>
      <c r="H44" s="59"/>
      <c r="I44" s="59"/>
      <c r="J44" s="59"/>
      <c r="K44" s="59"/>
      <c r="L44" s="59"/>
      <c r="M44" s="59"/>
      <c r="N44" s="59"/>
      <c r="O44" s="59"/>
      <c r="P44" s="59"/>
      <c r="Q44" s="59"/>
      <c r="R44" s="59"/>
      <c r="S44" s="59"/>
      <c r="T44" s="59"/>
      <c r="U44" s="59"/>
      <c r="V44" s="59"/>
      <c r="W44" s="59"/>
      <c r="X44" s="59"/>
      <c r="Y44" s="59"/>
      <c r="AC44" s="263"/>
      <c r="AD44" s="338"/>
    </row>
    <row r="45" spans="1:30" s="53" customFormat="1" ht="12">
      <c r="A45" s="44"/>
      <c r="C45" s="62" t="s">
        <v>413</v>
      </c>
      <c r="D45" s="253"/>
      <c r="E45" s="217"/>
      <c r="F45" s="285">
        <v>0</v>
      </c>
      <c r="G45" s="285">
        <v>0</v>
      </c>
      <c r="H45" s="316">
        <f t="shared" ref="H45:AC45" si="1">$D$44*$D$43*H10</f>
        <v>31349.18943075433</v>
      </c>
      <c r="I45" s="316">
        <f t="shared" si="1"/>
        <v>31636.809695052609</v>
      </c>
      <c r="J45" s="316">
        <f t="shared" si="1"/>
        <v>31924.429959350884</v>
      </c>
      <c r="K45" s="316">
        <f t="shared" si="1"/>
        <v>32212.050223649174</v>
      </c>
      <c r="L45" s="316">
        <f t="shared" si="1"/>
        <v>32499.670487947449</v>
      </c>
      <c r="M45" s="316">
        <f t="shared" si="1"/>
        <v>32787.290752245724</v>
      </c>
      <c r="N45" s="316">
        <f t="shared" si="1"/>
        <v>32702.697696287651</v>
      </c>
      <c r="O45" s="316">
        <f t="shared" si="1"/>
        <v>32618.104640329555</v>
      </c>
      <c r="P45" s="316">
        <f t="shared" si="1"/>
        <v>32533.51158437147</v>
      </c>
      <c r="Q45" s="316">
        <f t="shared" si="1"/>
        <v>32448.918528413396</v>
      </c>
      <c r="R45" s="316">
        <f t="shared" si="1"/>
        <v>32364.325472455301</v>
      </c>
      <c r="S45" s="316">
        <f t="shared" si="1"/>
        <v>32279.73241649722</v>
      </c>
      <c r="T45" s="316">
        <f t="shared" si="1"/>
        <v>32195.139360539135</v>
      </c>
      <c r="U45" s="316">
        <f t="shared" si="1"/>
        <v>32110.546304581039</v>
      </c>
      <c r="V45" s="316">
        <f t="shared" si="1"/>
        <v>32025.953248622955</v>
      </c>
      <c r="W45" s="316">
        <f t="shared" si="1"/>
        <v>31941.360192664866</v>
      </c>
      <c r="X45" s="316">
        <f t="shared" si="1"/>
        <v>31035.000024089208</v>
      </c>
      <c r="Y45" s="316">
        <f t="shared" si="1"/>
        <v>30952.603645127783</v>
      </c>
      <c r="Z45" s="316">
        <f t="shared" si="1"/>
        <v>30870.207266166359</v>
      </c>
      <c r="AA45" s="316">
        <f t="shared" si="1"/>
        <v>30787.810887204934</v>
      </c>
      <c r="AB45" s="316">
        <f t="shared" si="1"/>
        <v>30705.414508243517</v>
      </c>
      <c r="AC45" s="317">
        <f t="shared" si="1"/>
        <v>30623.018129282085</v>
      </c>
      <c r="AD45" s="344">
        <f t="shared" si="0"/>
        <v>700603.78445387655</v>
      </c>
    </row>
    <row r="46" spans="1:30" s="53" customFormat="1" ht="12">
      <c r="A46" s="44"/>
      <c r="B46" s="44"/>
      <c r="D46" s="253"/>
      <c r="E46" s="217"/>
      <c r="G46" s="59"/>
      <c r="H46" s="59"/>
      <c r="I46" s="59"/>
      <c r="J46" s="59"/>
      <c r="K46" s="59"/>
      <c r="L46" s="59"/>
      <c r="M46" s="59"/>
      <c r="N46" s="59"/>
      <c r="O46" s="59"/>
      <c r="P46" s="59"/>
      <c r="Q46" s="59"/>
      <c r="R46" s="59"/>
      <c r="S46" s="59"/>
      <c r="T46" s="59"/>
      <c r="U46" s="59"/>
      <c r="V46" s="59"/>
      <c r="W46" s="59"/>
      <c r="X46" s="59"/>
      <c r="Y46" s="59"/>
      <c r="AC46" s="263"/>
      <c r="AD46" s="338"/>
    </row>
    <row r="47" spans="1:30" s="53" customFormat="1" ht="12">
      <c r="A47" s="44"/>
      <c r="B47" s="250" t="s">
        <v>446</v>
      </c>
      <c r="C47" s="54" t="s">
        <v>409</v>
      </c>
      <c r="D47" s="253"/>
      <c r="E47" s="217"/>
      <c r="F47" s="45">
        <f>F11</f>
        <v>0</v>
      </c>
      <c r="G47" s="45">
        <f t="shared" ref="G47:AC47" si="2">G11</f>
        <v>2844.2489889162348</v>
      </c>
      <c r="H47" s="45">
        <f t="shared" si="2"/>
        <v>2870.5858311259212</v>
      </c>
      <c r="I47" s="102">
        <f t="shared" si="2"/>
        <v>2896.9226733356068</v>
      </c>
      <c r="J47" s="102">
        <f t="shared" si="2"/>
        <v>2923.2595155452927</v>
      </c>
      <c r="K47" s="102">
        <f t="shared" si="2"/>
        <v>2949.5963577549796</v>
      </c>
      <c r="L47" s="102">
        <f t="shared" si="2"/>
        <v>2975.9331999646652</v>
      </c>
      <c r="M47" s="102">
        <f t="shared" si="2"/>
        <v>3002.2700421743507</v>
      </c>
      <c r="N47" s="102">
        <f t="shared" si="2"/>
        <v>2994.5240164475526</v>
      </c>
      <c r="O47" s="102">
        <f t="shared" si="2"/>
        <v>2986.7779907207528</v>
      </c>
      <c r="P47" s="102">
        <f t="shared" si="2"/>
        <v>2979.0319649939538</v>
      </c>
      <c r="Q47" s="102">
        <f t="shared" si="2"/>
        <v>2971.2859392671558</v>
      </c>
      <c r="R47" s="102">
        <f t="shared" si="2"/>
        <v>2963.5399135403559</v>
      </c>
      <c r="S47" s="102">
        <f t="shared" si="2"/>
        <v>2955.7938878135569</v>
      </c>
      <c r="T47" s="102">
        <f t="shared" si="2"/>
        <v>2948.0478620867575</v>
      </c>
      <c r="U47" s="102">
        <f t="shared" si="2"/>
        <v>2940.3018363599581</v>
      </c>
      <c r="V47" s="102">
        <f t="shared" si="2"/>
        <v>2932.5558106331587</v>
      </c>
      <c r="W47" s="102">
        <f t="shared" si="2"/>
        <v>2924.8097849063593</v>
      </c>
      <c r="X47" s="102">
        <f t="shared" si="2"/>
        <v>2841.8161029307171</v>
      </c>
      <c r="Y47" s="102">
        <f t="shared" si="2"/>
        <v>2834.2712227511133</v>
      </c>
      <c r="Z47" s="102">
        <f t="shared" si="2"/>
        <v>2826.7263425715096</v>
      </c>
      <c r="AA47" s="102">
        <f t="shared" si="2"/>
        <v>2819.1814623919054</v>
      </c>
      <c r="AB47" s="102">
        <f t="shared" si="2"/>
        <v>2811.6365822123021</v>
      </c>
      <c r="AC47" s="267">
        <f t="shared" si="2"/>
        <v>2804.0917020326974</v>
      </c>
      <c r="AD47" s="343">
        <f t="shared" si="0"/>
        <v>66997.20903047685</v>
      </c>
    </row>
    <row r="48" spans="1:30" s="53" customFormat="1" ht="12">
      <c r="A48" s="44"/>
      <c r="B48" s="70"/>
      <c r="C48" s="63" t="s">
        <v>131</v>
      </c>
      <c r="D48" s="253"/>
      <c r="E48" s="217"/>
      <c r="F48" s="45"/>
      <c r="G48" s="45"/>
      <c r="H48" s="45"/>
      <c r="I48" s="45"/>
      <c r="J48" s="45"/>
      <c r="K48" s="45"/>
      <c r="L48" s="45"/>
      <c r="M48" s="45"/>
      <c r="N48" s="45"/>
      <c r="O48" s="45"/>
      <c r="P48" s="45"/>
      <c r="Q48" s="45"/>
      <c r="R48" s="45"/>
      <c r="S48" s="45"/>
      <c r="T48" s="45"/>
      <c r="U48" s="45"/>
      <c r="V48" s="45"/>
      <c r="W48" s="45"/>
      <c r="X48" s="45"/>
      <c r="Y48" s="45"/>
      <c r="Z48" s="45"/>
      <c r="AA48" s="45"/>
      <c r="AB48" s="45"/>
      <c r="AC48" s="263"/>
      <c r="AD48" s="338"/>
    </row>
    <row r="49" spans="1:30" s="53" customFormat="1" ht="12">
      <c r="A49" s="44"/>
      <c r="B49" s="70"/>
      <c r="C49" s="224" t="s">
        <v>387</v>
      </c>
      <c r="D49" s="253" t="s">
        <v>601</v>
      </c>
      <c r="E49" s="217"/>
      <c r="F49" s="298">
        <f>'Mode Operating Assumptions'!D29</f>
        <v>0.39100279786137265</v>
      </c>
      <c r="G49" s="298">
        <f>'Mode Operating Assumptions'!E29</f>
        <v>0.39205714599476826</v>
      </c>
      <c r="H49" s="298">
        <f>'Mode Operating Assumptions'!F29</f>
        <v>0.39311874523828177</v>
      </c>
      <c r="I49" s="298">
        <f>'Mode Operating Assumptions'!G29</f>
        <v>0.39418767065254157</v>
      </c>
      <c r="J49" s="298">
        <f>'Mode Operating Assumptions'!H29</f>
        <v>0.39526399833776032</v>
      </c>
      <c r="K49" s="298">
        <f>'Mode Operating Assumptions'!I29</f>
        <v>0.39634780545179538</v>
      </c>
      <c r="L49" s="298">
        <f>'Mode Operating Assumptions'!J29</f>
        <v>0.39743917022858699</v>
      </c>
      <c r="M49" s="298">
        <f>'Mode Operating Assumptions'!K29</f>
        <v>0.39853817199698321</v>
      </c>
      <c r="N49" s="298">
        <f>'Mode Operating Assumptions'!L29</f>
        <v>0.39964489119996166</v>
      </c>
      <c r="O49" s="298">
        <f>'Mode Operating Assumptions'!M29</f>
        <v>0.40075940941425758</v>
      </c>
      <c r="P49" s="298">
        <f>'Mode Operating Assumptions'!N29</f>
        <v>0.40188180937040846</v>
      </c>
      <c r="Q49" s="298">
        <f>'Mode Operating Assumptions'!O29</f>
        <v>0.40301217497322528</v>
      </c>
      <c r="R49" s="298">
        <f>'Mode Operating Assumptions'!P29</f>
        <v>0.40415059132270104</v>
      </c>
      <c r="S49" s="298">
        <f>'Mode Operating Assumptions'!Q29</f>
        <v>0.40529714473536788</v>
      </c>
      <c r="T49" s="298">
        <f>'Mode Operating Assumptions'!R29</f>
        <v>0.40645192276611369</v>
      </c>
      <c r="U49" s="298">
        <f>'Mode Operating Assumptions'!S29</f>
        <v>0.40761501423047014</v>
      </c>
      <c r="V49" s="298">
        <f>'Mode Operating Assumptions'!T29</f>
        <v>0.40878650922738302</v>
      </c>
      <c r="W49" s="298">
        <f>'Mode Operating Assumptions'!U29</f>
        <v>0.40996649916247907</v>
      </c>
      <c r="X49" s="298">
        <f>'Mode Operating Assumptions'!V29</f>
        <v>0.41115507677183999</v>
      </c>
      <c r="Y49" s="298">
        <f>'Mode Operating Assumptions'!W29</f>
        <v>0.41235233614629774</v>
      </c>
      <c r="Z49" s="298">
        <f>'Mode Operating Assumptions'!X29</f>
        <v>0.41355837275626389</v>
      </c>
      <c r="AA49" s="298">
        <f>'Mode Operating Assumptions'!Y29</f>
        <v>0.41477328347710757</v>
      </c>
      <c r="AB49" s="298">
        <f>'Mode Operating Assumptions'!Z29</f>
        <v>0.415997166615095</v>
      </c>
      <c r="AC49" s="301">
        <f>'Mode Operating Assumptions'!AA29</f>
        <v>0.41723012193390652</v>
      </c>
      <c r="AD49" s="345">
        <f t="shared" si="0"/>
        <v>9.6905878298649686</v>
      </c>
    </row>
    <row r="50" spans="1:30" s="53" customFormat="1" ht="12">
      <c r="A50" s="44"/>
      <c r="B50" s="70"/>
      <c r="C50" s="224" t="s">
        <v>404</v>
      </c>
      <c r="D50" s="248">
        <f>'Mode Operating Assumptions'!C150</f>
        <v>0.38127571701364549</v>
      </c>
      <c r="E50" s="217"/>
      <c r="F50" s="45"/>
      <c r="G50" s="45"/>
      <c r="H50" s="45"/>
      <c r="I50" s="45"/>
      <c r="J50" s="45"/>
      <c r="K50" s="45"/>
      <c r="L50" s="45"/>
      <c r="M50" s="45"/>
      <c r="N50" s="45"/>
      <c r="O50" s="45"/>
      <c r="P50" s="45"/>
      <c r="Q50" s="45"/>
      <c r="R50" s="45"/>
      <c r="S50" s="45"/>
      <c r="T50" s="45"/>
      <c r="U50" s="45"/>
      <c r="V50" s="45"/>
      <c r="W50" s="45"/>
      <c r="X50" s="45"/>
      <c r="Y50" s="45"/>
      <c r="Z50" s="45"/>
      <c r="AA50" s="45"/>
      <c r="AB50" s="45"/>
      <c r="AC50" s="263"/>
      <c r="AD50" s="338"/>
    </row>
    <row r="51" spans="1:30" s="53" customFormat="1" ht="12">
      <c r="A51" s="44"/>
      <c r="B51" s="70"/>
      <c r="C51" s="224" t="s">
        <v>405</v>
      </c>
      <c r="D51" s="248">
        <f>'Mode Operating Assumptions'!C52</f>
        <v>0.234375</v>
      </c>
      <c r="E51" s="217"/>
      <c r="F51" s="45"/>
      <c r="G51" s="45"/>
      <c r="H51" s="45"/>
      <c r="I51" s="45"/>
      <c r="J51" s="45"/>
      <c r="K51" s="45"/>
      <c r="L51" s="45"/>
      <c r="M51" s="45"/>
      <c r="N51" s="45"/>
      <c r="O51" s="45"/>
      <c r="P51" s="45"/>
      <c r="Q51" s="45"/>
      <c r="R51" s="45"/>
      <c r="S51" s="45"/>
      <c r="T51" s="45"/>
      <c r="U51" s="45"/>
      <c r="V51" s="45"/>
      <c r="W51" s="45"/>
      <c r="X51" s="45"/>
      <c r="Y51" s="45"/>
      <c r="Z51" s="45"/>
      <c r="AA51" s="45"/>
      <c r="AB51" s="45"/>
      <c r="AC51" s="263"/>
      <c r="AD51" s="338"/>
    </row>
    <row r="52" spans="1:30" s="53" customFormat="1" ht="12">
      <c r="A52" s="44"/>
      <c r="C52" s="224" t="s">
        <v>384</v>
      </c>
      <c r="D52" s="253">
        <v>13.91</v>
      </c>
      <c r="E52" s="217"/>
      <c r="F52" s="45"/>
      <c r="G52" s="45"/>
      <c r="H52" s="45"/>
      <c r="I52" s="45"/>
      <c r="J52" s="45"/>
      <c r="K52" s="45"/>
      <c r="L52" s="45"/>
      <c r="M52" s="45"/>
      <c r="N52" s="45"/>
      <c r="O52" s="45"/>
      <c r="P52" s="45"/>
      <c r="Q52" s="45"/>
      <c r="R52" s="45"/>
      <c r="S52" s="45"/>
      <c r="T52" s="45"/>
      <c r="U52" s="45"/>
      <c r="V52" s="45"/>
      <c r="W52" s="45"/>
      <c r="X52" s="45"/>
      <c r="Y52" s="45"/>
      <c r="Z52" s="45"/>
      <c r="AA52" s="45"/>
      <c r="AB52" s="45"/>
      <c r="AC52" s="263"/>
      <c r="AD52" s="338"/>
    </row>
    <row r="53" spans="1:30" s="53" customFormat="1" ht="12">
      <c r="A53" s="44"/>
      <c r="B53" s="70"/>
      <c r="C53" s="224" t="s">
        <v>385</v>
      </c>
      <c r="D53" s="253">
        <v>13.91</v>
      </c>
      <c r="E53" s="217"/>
      <c r="F53" s="45"/>
      <c r="G53" s="45"/>
      <c r="H53" s="45"/>
      <c r="I53" s="45"/>
      <c r="J53" s="45"/>
      <c r="K53" s="45"/>
      <c r="L53" s="45"/>
      <c r="M53" s="45"/>
      <c r="N53" s="45"/>
      <c r="O53" s="45"/>
      <c r="P53" s="45"/>
      <c r="Q53" s="45"/>
      <c r="R53" s="45"/>
      <c r="S53" s="45"/>
      <c r="T53" s="45"/>
      <c r="U53" s="45"/>
      <c r="V53" s="45"/>
      <c r="W53" s="45"/>
      <c r="X53" s="45"/>
      <c r="Y53" s="45"/>
      <c r="Z53" s="45"/>
      <c r="AA53" s="45"/>
      <c r="AB53" s="45"/>
      <c r="AC53" s="263"/>
      <c r="AD53" s="338"/>
    </row>
    <row r="54" spans="1:30" s="53" customFormat="1" ht="12">
      <c r="A54" s="44"/>
      <c r="B54" s="70"/>
      <c r="C54" s="224" t="s">
        <v>403</v>
      </c>
      <c r="D54" s="253">
        <f>D44</f>
        <v>26.21</v>
      </c>
      <c r="E54" s="217"/>
      <c r="F54" s="45"/>
      <c r="G54" s="45"/>
      <c r="H54" s="45"/>
      <c r="I54" s="45"/>
      <c r="J54" s="45"/>
      <c r="K54" s="45"/>
      <c r="L54" s="45"/>
      <c r="M54" s="45"/>
      <c r="N54" s="45"/>
      <c r="O54" s="45"/>
      <c r="P54" s="45"/>
      <c r="Q54" s="45"/>
      <c r="R54" s="45"/>
      <c r="S54" s="45"/>
      <c r="T54" s="45"/>
      <c r="U54" s="45"/>
      <c r="V54" s="45"/>
      <c r="W54" s="45"/>
      <c r="X54" s="45"/>
      <c r="Y54" s="45"/>
      <c r="Z54" s="45"/>
      <c r="AA54" s="45"/>
      <c r="AB54" s="45"/>
      <c r="AC54" s="263"/>
      <c r="AD54" s="338"/>
    </row>
    <row r="55" spans="1:30" s="53" customFormat="1" ht="12">
      <c r="A55" s="44"/>
      <c r="B55" s="70"/>
      <c r="C55" s="78" t="s">
        <v>400</v>
      </c>
      <c r="D55" s="253"/>
      <c r="E55" s="217"/>
      <c r="F55" s="255">
        <f>+(F49*$D$52)-($D$50*$D$53)-($D$51*$D$54)</f>
        <v>-6.0076650554081157</v>
      </c>
      <c r="G55" s="255">
        <f>+(G49*$D$52)-($D$50*$D$53)-($D$51*$D$54)</f>
        <v>-5.9929990728725828</v>
      </c>
      <c r="H55" s="255">
        <f t="shared" ref="H55:AC55" si="3">+(H49*$D$52)-($D$50*$D$53)-($D$51*$D$54)</f>
        <v>-5.9782322273953099</v>
      </c>
      <c r="I55" s="255">
        <f t="shared" si="3"/>
        <v>-5.9633634748829563</v>
      </c>
      <c r="J55" s="255">
        <f t="shared" si="3"/>
        <v>-5.9483917567815627</v>
      </c>
      <c r="K55" s="255">
        <f t="shared" si="3"/>
        <v>-5.9333159998253358</v>
      </c>
      <c r="L55" s="255">
        <f t="shared" si="3"/>
        <v>-5.9181351157801645</v>
      </c>
      <c r="M55" s="255">
        <f t="shared" si="3"/>
        <v>-5.9028480011817726</v>
      </c>
      <c r="N55" s="255">
        <f t="shared" si="3"/>
        <v>-5.8874535370683425</v>
      </c>
      <c r="O55" s="255">
        <f t="shared" si="3"/>
        <v>-5.8719505887074863</v>
      </c>
      <c r="P55" s="255">
        <f t="shared" si="3"/>
        <v>-5.8563380053174274</v>
      </c>
      <c r="Q55" s="255">
        <f t="shared" si="3"/>
        <v>-5.8406146197822455</v>
      </c>
      <c r="R55" s="255">
        <f t="shared" si="3"/>
        <v>-5.8247792483610379</v>
      </c>
      <c r="S55" s="255">
        <f t="shared" si="3"/>
        <v>-5.8088306903908418</v>
      </c>
      <c r="T55" s="255">
        <f t="shared" si="3"/>
        <v>-5.7927677279831675</v>
      </c>
      <c r="U55" s="255">
        <f t="shared" si="3"/>
        <v>-5.7765891257139694</v>
      </c>
      <c r="V55" s="255">
        <f t="shared" si="3"/>
        <v>-5.7602936303069114</v>
      </c>
      <c r="W55" s="255">
        <f t="shared" si="3"/>
        <v>-5.7438799703097256</v>
      </c>
      <c r="X55" s="255">
        <f t="shared" si="3"/>
        <v>-5.727346855763515</v>
      </c>
      <c r="Y55" s="255">
        <f t="shared" si="3"/>
        <v>-5.7106929778648077</v>
      </c>
      <c r="Z55" s="255">
        <f t="shared" si="3"/>
        <v>-5.6939170086201782</v>
      </c>
      <c r="AA55" s="255">
        <f t="shared" si="3"/>
        <v>-5.6770176004932429</v>
      </c>
      <c r="AB55" s="255">
        <f t="shared" si="3"/>
        <v>-5.6599933860438378</v>
      </c>
      <c r="AC55" s="268">
        <f t="shared" si="3"/>
        <v>-5.6428429775591695</v>
      </c>
      <c r="AD55" s="346">
        <f t="shared" si="0"/>
        <v>-139.92025865441371</v>
      </c>
    </row>
    <row r="56" spans="1:30" s="53" customFormat="1" ht="12">
      <c r="A56" s="44"/>
      <c r="B56" s="70"/>
      <c r="D56" s="253"/>
      <c r="E56" s="217"/>
      <c r="F56" s="255">
        <f>F55*F47</f>
        <v>0</v>
      </c>
      <c r="G56" s="255">
        <f t="shared" ref="G56:AC56" si="4">G55*G47</f>
        <v>-17045.581553593776</v>
      </c>
      <c r="H56" s="255">
        <f t="shared" si="4"/>
        <v>-17161.028727141333</v>
      </c>
      <c r="I56" s="255">
        <f t="shared" si="4"/>
        <v>-17275.402859729846</v>
      </c>
      <c r="J56" s="255">
        <f t="shared" si="4"/>
        <v>-17388.692805202885</v>
      </c>
      <c r="K56" s="255">
        <f t="shared" si="4"/>
        <v>-17500.887262494154</v>
      </c>
      <c r="L56" s="255">
        <f t="shared" si="4"/>
        <v>-17611.974772926918</v>
      </c>
      <c r="M56" s="255">
        <f t="shared" si="4"/>
        <v>-17721.943717456783</v>
      </c>
      <c r="N56" s="255">
        <f t="shared" si="4"/>
        <v>-17630.121012470245</v>
      </c>
      <c r="O56" s="255">
        <f t="shared" si="4"/>
        <v>-17538.212780951286</v>
      </c>
      <c r="P56" s="255">
        <f t="shared" si="4"/>
        <v>-17446.218115649546</v>
      </c>
      <c r="Q56" s="255">
        <f t="shared" si="4"/>
        <v>-17354.136096437171</v>
      </c>
      <c r="R56" s="255">
        <f t="shared" si="4"/>
        <v>-17261.965790079528</v>
      </c>
      <c r="S56" s="255">
        <f t="shared" si="4"/>
        <v>-17169.706250001054</v>
      </c>
      <c r="T56" s="255">
        <f t="shared" si="4"/>
        <v>-17077.35651604594</v>
      </c>
      <c r="U56" s="255">
        <f t="shared" si="4"/>
        <v>-16984.915614233749</v>
      </c>
      <c r="V56" s="255">
        <f t="shared" si="4"/>
        <v>-16892.382556509707</v>
      </c>
      <c r="W56" s="255">
        <f t="shared" si="4"/>
        <v>-16799.756340489534</v>
      </c>
      <c r="X56" s="255">
        <f t="shared" si="4"/>
        <v>-16276.066521778368</v>
      </c>
      <c r="Y56" s="255">
        <f t="shared" si="4"/>
        <v>-16185.652769129085</v>
      </c>
      <c r="Z56" s="255">
        <f t="shared" si="4"/>
        <v>-16095.145200682628</v>
      </c>
      <c r="AA56" s="255">
        <f t="shared" si="4"/>
        <v>-16004.542780983125</v>
      </c>
      <c r="AB56" s="255">
        <f t="shared" si="4"/>
        <v>-15913.844459280532</v>
      </c>
      <c r="AC56" s="268">
        <f t="shared" si="4"/>
        <v>-15823.049169247146</v>
      </c>
      <c r="AD56" s="346">
        <f t="shared" ref="AD56:AD91" si="5">SUM(F56:AC56)</f>
        <v>-390158.58367251436</v>
      </c>
    </row>
    <row r="57" spans="1:30" s="53" customFormat="1" ht="12">
      <c r="A57" s="44"/>
      <c r="B57" s="70"/>
      <c r="C57" s="62" t="s">
        <v>413</v>
      </c>
      <c r="D57" s="210"/>
      <c r="E57" s="217"/>
      <c r="F57" s="289">
        <f>F56</f>
        <v>0</v>
      </c>
      <c r="G57" s="289">
        <f t="shared" ref="G57:AC57" si="6">G56</f>
        <v>-17045.581553593776</v>
      </c>
      <c r="H57" s="289">
        <f t="shared" si="6"/>
        <v>-17161.028727141333</v>
      </c>
      <c r="I57" s="289">
        <f t="shared" si="6"/>
        <v>-17275.402859729846</v>
      </c>
      <c r="J57" s="289">
        <f t="shared" si="6"/>
        <v>-17388.692805202885</v>
      </c>
      <c r="K57" s="289">
        <f t="shared" si="6"/>
        <v>-17500.887262494154</v>
      </c>
      <c r="L57" s="289">
        <f t="shared" si="6"/>
        <v>-17611.974772926918</v>
      </c>
      <c r="M57" s="289">
        <f t="shared" si="6"/>
        <v>-17721.943717456783</v>
      </c>
      <c r="N57" s="289">
        <f t="shared" si="6"/>
        <v>-17630.121012470245</v>
      </c>
      <c r="O57" s="289">
        <f t="shared" si="6"/>
        <v>-17538.212780951286</v>
      </c>
      <c r="P57" s="289">
        <f t="shared" si="6"/>
        <v>-17446.218115649546</v>
      </c>
      <c r="Q57" s="289">
        <f t="shared" si="6"/>
        <v>-17354.136096437171</v>
      </c>
      <c r="R57" s="289">
        <f t="shared" si="6"/>
        <v>-17261.965790079528</v>
      </c>
      <c r="S57" s="289">
        <f t="shared" si="6"/>
        <v>-17169.706250001054</v>
      </c>
      <c r="T57" s="289">
        <f t="shared" si="6"/>
        <v>-17077.35651604594</v>
      </c>
      <c r="U57" s="289">
        <f t="shared" si="6"/>
        <v>-16984.915614233749</v>
      </c>
      <c r="V57" s="289">
        <f t="shared" si="6"/>
        <v>-16892.382556509707</v>
      </c>
      <c r="W57" s="289">
        <f t="shared" si="6"/>
        <v>-16799.756340489534</v>
      </c>
      <c r="X57" s="289">
        <f t="shared" si="6"/>
        <v>-16276.066521778368</v>
      </c>
      <c r="Y57" s="289">
        <f t="shared" si="6"/>
        <v>-16185.652769129085</v>
      </c>
      <c r="Z57" s="289">
        <f t="shared" si="6"/>
        <v>-16095.145200682628</v>
      </c>
      <c r="AA57" s="289">
        <f t="shared" si="6"/>
        <v>-16004.542780983125</v>
      </c>
      <c r="AB57" s="289">
        <f t="shared" si="6"/>
        <v>-15913.844459280532</v>
      </c>
      <c r="AC57" s="318">
        <f t="shared" si="6"/>
        <v>-15823.049169247146</v>
      </c>
      <c r="AD57" s="347">
        <f t="shared" si="5"/>
        <v>-390158.58367251436</v>
      </c>
    </row>
    <row r="58" spans="1:30" s="53" customFormat="1" ht="12">
      <c r="A58" s="44"/>
      <c r="B58" s="70"/>
      <c r="D58" s="210"/>
      <c r="E58" s="217"/>
      <c r="F58" s="233"/>
      <c r="G58" s="233"/>
      <c r="H58" s="233"/>
      <c r="I58" s="233"/>
      <c r="J58" s="233"/>
      <c r="K58" s="233"/>
      <c r="L58" s="233"/>
      <c r="M58" s="233"/>
      <c r="N58" s="233"/>
      <c r="O58" s="233"/>
      <c r="P58" s="233"/>
      <c r="Q58" s="233"/>
      <c r="R58" s="233"/>
      <c r="S58" s="233"/>
      <c r="T58" s="233"/>
      <c r="U58" s="233"/>
      <c r="V58" s="233"/>
      <c r="W58" s="233"/>
      <c r="X58" s="233"/>
      <c r="Y58" s="233"/>
      <c r="Z58" s="233"/>
      <c r="AA58" s="233"/>
      <c r="AB58" s="233"/>
      <c r="AC58" s="266"/>
      <c r="AD58" s="348"/>
    </row>
    <row r="59" spans="1:30" s="53" customFormat="1" ht="12">
      <c r="A59" s="44"/>
      <c r="B59" s="70"/>
      <c r="C59" s="63" t="s">
        <v>149</v>
      </c>
      <c r="D59" s="210"/>
      <c r="E59" s="217"/>
      <c r="F59" s="233"/>
      <c r="G59" s="233"/>
      <c r="H59" s="233"/>
      <c r="I59" s="233"/>
      <c r="J59" s="233"/>
      <c r="K59" s="233"/>
      <c r="L59" s="233"/>
      <c r="M59" s="233"/>
      <c r="N59" s="233"/>
      <c r="O59" s="233"/>
      <c r="P59" s="233"/>
      <c r="Q59" s="233"/>
      <c r="R59" s="233"/>
      <c r="S59" s="233"/>
      <c r="T59" s="233"/>
      <c r="U59" s="233"/>
      <c r="V59" s="233"/>
      <c r="W59" s="233"/>
      <c r="X59" s="233"/>
      <c r="Y59" s="233"/>
      <c r="Z59" s="233"/>
      <c r="AA59" s="233"/>
      <c r="AB59" s="233"/>
      <c r="AC59" s="266"/>
      <c r="AD59" s="348"/>
    </row>
    <row r="60" spans="1:30" s="53" customFormat="1" ht="12">
      <c r="A60" s="44"/>
      <c r="B60" s="70"/>
      <c r="C60" s="224" t="s">
        <v>472</v>
      </c>
      <c r="D60" s="253">
        <f>'Mode Operating Assumptions'!C33</f>
        <v>8.1905000000000001</v>
      </c>
      <c r="E60" s="217"/>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66"/>
      <c r="AD60" s="348"/>
    </row>
    <row r="61" spans="1:30" s="53" customFormat="1" ht="12">
      <c r="A61" s="44"/>
      <c r="B61" s="70"/>
      <c r="C61" s="225" t="s">
        <v>461</v>
      </c>
      <c r="D61" s="253">
        <f>'Mode Operating Assumptions'!C153</f>
        <v>2.107407271835358</v>
      </c>
      <c r="E61" s="217"/>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66"/>
      <c r="AD61" s="348"/>
    </row>
    <row r="62" spans="1:30" s="53" customFormat="1" ht="12">
      <c r="A62" s="44"/>
      <c r="B62" s="70"/>
      <c r="C62" s="224" t="s">
        <v>473</v>
      </c>
      <c r="D62" s="253">
        <v>0.05</v>
      </c>
      <c r="E62" s="217"/>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66"/>
      <c r="AD62" s="348"/>
    </row>
    <row r="63" spans="1:30" s="53" customFormat="1" ht="12">
      <c r="A63" s="44"/>
      <c r="B63" s="70"/>
      <c r="C63" s="78" t="s">
        <v>474</v>
      </c>
      <c r="D63" s="253">
        <f>+D60-D61-D62</f>
        <v>6.0330927281646423</v>
      </c>
      <c r="E63" s="217"/>
      <c r="F63" s="255">
        <f t="shared" ref="F63:AC63" si="7">$D63*F47</f>
        <v>0</v>
      </c>
      <c r="G63" s="255">
        <f t="shared" si="7"/>
        <v>17159.617892120172</v>
      </c>
      <c r="H63" s="255">
        <f t="shared" si="7"/>
        <v>17318.51050333825</v>
      </c>
      <c r="I63" s="255">
        <f t="shared" si="7"/>
        <v>17477.403114556324</v>
      </c>
      <c r="J63" s="255">
        <f t="shared" si="7"/>
        <v>17636.295725774402</v>
      </c>
      <c r="K63" s="255">
        <f t="shared" si="7"/>
        <v>17795.188336992484</v>
      </c>
      <c r="L63" s="255">
        <f t="shared" si="7"/>
        <v>17954.080948210554</v>
      </c>
      <c r="M63" s="255">
        <f t="shared" si="7"/>
        <v>18112.973559428629</v>
      </c>
      <c r="N63" s="255">
        <f t="shared" si="7"/>
        <v>18066.241067944109</v>
      </c>
      <c r="O63" s="255">
        <f t="shared" si="7"/>
        <v>18019.508576459575</v>
      </c>
      <c r="P63" s="255">
        <f t="shared" si="7"/>
        <v>17972.776084975048</v>
      </c>
      <c r="Q63" s="255">
        <f t="shared" si="7"/>
        <v>17926.043593490525</v>
      </c>
      <c r="R63" s="255">
        <f t="shared" si="7"/>
        <v>17879.311102005995</v>
      </c>
      <c r="S63" s="255">
        <f t="shared" si="7"/>
        <v>17832.578610521468</v>
      </c>
      <c r="T63" s="255">
        <f t="shared" si="7"/>
        <v>17785.846119036938</v>
      </c>
      <c r="U63" s="255">
        <f t="shared" si="7"/>
        <v>17739.113627552408</v>
      </c>
      <c r="V63" s="255">
        <f t="shared" si="7"/>
        <v>17692.381136067877</v>
      </c>
      <c r="W63" s="255">
        <f t="shared" si="7"/>
        <v>17645.648644583347</v>
      </c>
      <c r="X63" s="255">
        <f t="shared" si="7"/>
        <v>17144.940065372492</v>
      </c>
      <c r="Y63" s="255">
        <f t="shared" si="7"/>
        <v>17099.421103626049</v>
      </c>
      <c r="Z63" s="255">
        <f t="shared" si="7"/>
        <v>17053.902141879611</v>
      </c>
      <c r="AA63" s="255">
        <f t="shared" si="7"/>
        <v>17008.383180133165</v>
      </c>
      <c r="AB63" s="255">
        <f t="shared" si="7"/>
        <v>16962.864218386727</v>
      </c>
      <c r="AC63" s="268">
        <f t="shared" si="7"/>
        <v>16917.345256640281</v>
      </c>
      <c r="AD63" s="346">
        <f t="shared" si="5"/>
        <v>404200.37460909638</v>
      </c>
    </row>
    <row r="64" spans="1:30" s="53" customFormat="1" ht="12">
      <c r="A64" s="44"/>
      <c r="B64" s="70"/>
      <c r="C64" s="62" t="s">
        <v>414</v>
      </c>
      <c r="D64" s="210"/>
      <c r="E64" s="217"/>
      <c r="F64" s="289">
        <f>F63</f>
        <v>0</v>
      </c>
      <c r="G64" s="289">
        <f t="shared" ref="G64:AC64" si="8">G63</f>
        <v>17159.617892120172</v>
      </c>
      <c r="H64" s="289">
        <f t="shared" si="8"/>
        <v>17318.51050333825</v>
      </c>
      <c r="I64" s="289">
        <f t="shared" si="8"/>
        <v>17477.403114556324</v>
      </c>
      <c r="J64" s="289">
        <f t="shared" si="8"/>
        <v>17636.295725774402</v>
      </c>
      <c r="K64" s="289">
        <f t="shared" si="8"/>
        <v>17795.188336992484</v>
      </c>
      <c r="L64" s="289">
        <f t="shared" si="8"/>
        <v>17954.080948210554</v>
      </c>
      <c r="M64" s="289">
        <f t="shared" si="8"/>
        <v>18112.973559428629</v>
      </c>
      <c r="N64" s="289">
        <f t="shared" si="8"/>
        <v>18066.241067944109</v>
      </c>
      <c r="O64" s="289">
        <f t="shared" si="8"/>
        <v>18019.508576459575</v>
      </c>
      <c r="P64" s="289">
        <f t="shared" si="8"/>
        <v>17972.776084975048</v>
      </c>
      <c r="Q64" s="289">
        <f t="shared" si="8"/>
        <v>17926.043593490525</v>
      </c>
      <c r="R64" s="289">
        <f t="shared" si="8"/>
        <v>17879.311102005995</v>
      </c>
      <c r="S64" s="289">
        <f t="shared" si="8"/>
        <v>17832.578610521468</v>
      </c>
      <c r="T64" s="289">
        <f t="shared" si="8"/>
        <v>17785.846119036938</v>
      </c>
      <c r="U64" s="289">
        <f t="shared" si="8"/>
        <v>17739.113627552408</v>
      </c>
      <c r="V64" s="289">
        <f t="shared" si="8"/>
        <v>17692.381136067877</v>
      </c>
      <c r="W64" s="289">
        <f t="shared" si="8"/>
        <v>17645.648644583347</v>
      </c>
      <c r="X64" s="289">
        <f t="shared" si="8"/>
        <v>17144.940065372492</v>
      </c>
      <c r="Y64" s="289">
        <f t="shared" si="8"/>
        <v>17099.421103626049</v>
      </c>
      <c r="Z64" s="289">
        <f t="shared" si="8"/>
        <v>17053.902141879611</v>
      </c>
      <c r="AA64" s="289">
        <f t="shared" si="8"/>
        <v>17008.383180133165</v>
      </c>
      <c r="AB64" s="289">
        <f t="shared" si="8"/>
        <v>16962.864218386727</v>
      </c>
      <c r="AC64" s="318">
        <f t="shared" si="8"/>
        <v>16917.345256640281</v>
      </c>
      <c r="AD64" s="347">
        <f t="shared" si="5"/>
        <v>404200.37460909638</v>
      </c>
    </row>
    <row r="65" spans="1:30" s="53" customFormat="1" ht="12">
      <c r="A65" s="44"/>
      <c r="B65" s="70"/>
      <c r="C65" s="108"/>
      <c r="D65" s="210"/>
      <c r="E65" s="217"/>
      <c r="F65" s="45"/>
      <c r="G65" s="62"/>
      <c r="H65" s="59"/>
      <c r="I65" s="59"/>
      <c r="J65" s="59"/>
      <c r="K65" s="59"/>
      <c r="L65" s="59"/>
      <c r="M65" s="59"/>
      <c r="N65" s="59"/>
      <c r="O65" s="59"/>
      <c r="P65" s="59"/>
      <c r="Q65" s="59"/>
      <c r="R65" s="59"/>
      <c r="S65" s="59"/>
      <c r="T65" s="59"/>
      <c r="U65" s="59"/>
      <c r="V65" s="59"/>
      <c r="W65" s="59"/>
      <c r="X65" s="59"/>
      <c r="Y65" s="59"/>
      <c r="AC65" s="263"/>
      <c r="AD65" s="338"/>
    </row>
    <row r="66" spans="1:30" s="53" customFormat="1" ht="12">
      <c r="A66" s="44"/>
      <c r="B66" s="5" t="s">
        <v>261</v>
      </c>
      <c r="C66" s="55"/>
      <c r="D66" s="210"/>
      <c r="E66" s="217"/>
      <c r="F66" s="45"/>
      <c r="G66" s="59"/>
      <c r="H66" s="59"/>
      <c r="I66" s="59"/>
      <c r="J66" s="59"/>
      <c r="K66" s="59"/>
      <c r="L66" s="59"/>
      <c r="M66" s="59"/>
      <c r="N66" s="59"/>
      <c r="O66" s="59"/>
      <c r="P66" s="59"/>
      <c r="Q66" s="59"/>
      <c r="R66" s="59"/>
      <c r="S66" s="59"/>
      <c r="T66" s="59"/>
      <c r="U66" s="59"/>
      <c r="V66" s="59"/>
      <c r="W66" s="59"/>
      <c r="X66" s="59"/>
      <c r="Y66" s="59"/>
      <c r="AC66" s="263"/>
      <c r="AD66" s="338"/>
    </row>
    <row r="67" spans="1:30" s="53" customFormat="1" ht="12">
      <c r="A67" s="44"/>
      <c r="B67" s="70" t="s">
        <v>447</v>
      </c>
      <c r="C67" s="70" t="s">
        <v>350</v>
      </c>
      <c r="D67" s="210"/>
      <c r="E67" s="217"/>
      <c r="F67" s="45"/>
      <c r="G67" s="59"/>
      <c r="H67" s="59"/>
      <c r="I67" s="59"/>
      <c r="J67" s="59"/>
      <c r="K67" s="59"/>
      <c r="L67" s="59"/>
      <c r="M67" s="59"/>
      <c r="N67" s="59"/>
      <c r="O67" s="59"/>
      <c r="P67" s="59"/>
      <c r="Q67" s="59"/>
      <c r="R67" s="59"/>
      <c r="S67" s="59"/>
      <c r="T67" s="59"/>
      <c r="U67" s="59"/>
      <c r="V67" s="59"/>
      <c r="W67" s="59"/>
      <c r="X67" s="59"/>
      <c r="Y67" s="59"/>
      <c r="AC67" s="263"/>
      <c r="AD67" s="338"/>
    </row>
    <row r="68" spans="1:30" s="53" customFormat="1" ht="12">
      <c r="A68" s="44"/>
      <c r="C68" s="63" t="s">
        <v>131</v>
      </c>
      <c r="D68" s="210"/>
      <c r="E68" s="217"/>
      <c r="F68" s="45"/>
      <c r="G68" s="59"/>
      <c r="H68" s="59"/>
      <c r="I68" s="59"/>
      <c r="J68" s="59"/>
      <c r="K68" s="59"/>
      <c r="L68" s="59"/>
      <c r="M68" s="59"/>
      <c r="N68" s="59"/>
      <c r="O68" s="59"/>
      <c r="P68" s="59"/>
      <c r="Q68" s="59"/>
      <c r="R68" s="59"/>
      <c r="S68" s="59"/>
      <c r="T68" s="59"/>
      <c r="U68" s="59"/>
      <c r="V68" s="59"/>
      <c r="W68" s="59"/>
      <c r="X68" s="59"/>
      <c r="Y68" s="59"/>
      <c r="AC68" s="263"/>
      <c r="AD68" s="338"/>
    </row>
    <row r="69" spans="1:30" s="53" customFormat="1" ht="12">
      <c r="A69" s="44"/>
      <c r="B69" s="70"/>
      <c r="C69" s="226" t="s">
        <v>602</v>
      </c>
      <c r="D69" s="247">
        <f>20/3600</f>
        <v>5.5555555555555558E-3</v>
      </c>
      <c r="E69" s="217"/>
      <c r="F69" s="45"/>
      <c r="G69" s="59"/>
      <c r="H69" s="59"/>
      <c r="I69" s="59"/>
      <c r="J69" s="59"/>
      <c r="K69" s="59"/>
      <c r="L69" s="59"/>
      <c r="M69" s="59"/>
      <c r="N69" s="59"/>
      <c r="O69" s="59"/>
      <c r="P69" s="59"/>
      <c r="Q69" s="59"/>
      <c r="R69" s="59"/>
      <c r="S69" s="59"/>
      <c r="T69" s="59"/>
      <c r="U69" s="59"/>
      <c r="V69" s="59"/>
      <c r="W69" s="59"/>
      <c r="X69" s="59"/>
      <c r="Y69" s="59"/>
      <c r="AC69" s="263"/>
      <c r="AD69" s="338"/>
    </row>
    <row r="70" spans="1:30" s="53" customFormat="1" ht="12">
      <c r="A70" s="44"/>
      <c r="B70" s="70"/>
      <c r="C70" s="224" t="s">
        <v>422</v>
      </c>
      <c r="D70" s="223">
        <f>'Price Assumptions'!$B$3</f>
        <v>12.5</v>
      </c>
      <c r="E70" s="217"/>
      <c r="F70" s="45"/>
      <c r="G70" s="59"/>
      <c r="H70" s="59"/>
      <c r="I70" s="59"/>
      <c r="J70" s="59"/>
      <c r="K70" s="59"/>
      <c r="L70" s="59"/>
      <c r="M70" s="59"/>
      <c r="N70" s="59"/>
      <c r="O70" s="59"/>
      <c r="P70" s="59"/>
      <c r="Q70" s="59"/>
      <c r="R70" s="59"/>
      <c r="S70" s="59"/>
      <c r="T70" s="59"/>
      <c r="U70" s="59"/>
      <c r="V70" s="59"/>
      <c r="W70" s="59"/>
      <c r="X70" s="59"/>
      <c r="Y70" s="59"/>
      <c r="AC70" s="263"/>
      <c r="AD70" s="338"/>
    </row>
    <row r="71" spans="1:30" s="53" customFormat="1" ht="12">
      <c r="A71" s="44"/>
      <c r="B71" s="70"/>
      <c r="C71" s="62" t="s">
        <v>413</v>
      </c>
      <c r="D71" s="210"/>
      <c r="E71" s="217"/>
      <c r="F71" s="285">
        <f>($D$69)*$D$70*F15</f>
        <v>0</v>
      </c>
      <c r="G71" s="285">
        <f t="shared" ref="G71:AC71" si="9">($D$69)*$D$70*G15</f>
        <v>187.04549498599047</v>
      </c>
      <c r="H71" s="285">
        <f t="shared" si="9"/>
        <v>188.77747685771675</v>
      </c>
      <c r="I71" s="285">
        <f t="shared" si="9"/>
        <v>190.509458729443</v>
      </c>
      <c r="J71" s="285">
        <f t="shared" si="9"/>
        <v>192.24144060116927</v>
      </c>
      <c r="K71" s="285">
        <f t="shared" si="9"/>
        <v>193.97342247289552</v>
      </c>
      <c r="L71" s="285">
        <f t="shared" si="9"/>
        <v>195.70540434462177</v>
      </c>
      <c r="M71" s="285">
        <f t="shared" si="9"/>
        <v>197.43738621634802</v>
      </c>
      <c r="N71" s="285">
        <f t="shared" si="9"/>
        <v>196.92798664483044</v>
      </c>
      <c r="O71" s="285">
        <f t="shared" si="9"/>
        <v>196.41858707331281</v>
      </c>
      <c r="P71" s="285">
        <f t="shared" si="9"/>
        <v>195.90918750179517</v>
      </c>
      <c r="Q71" s="285">
        <f t="shared" si="9"/>
        <v>195.39978793027757</v>
      </c>
      <c r="R71" s="285">
        <f t="shared" si="9"/>
        <v>194.89038835875996</v>
      </c>
      <c r="S71" s="285">
        <f t="shared" si="9"/>
        <v>194.38098878724236</v>
      </c>
      <c r="T71" s="285">
        <f t="shared" si="9"/>
        <v>193.87158921572473</v>
      </c>
      <c r="U71" s="285">
        <f t="shared" si="9"/>
        <v>193.36218964420704</v>
      </c>
      <c r="V71" s="285">
        <f t="shared" si="9"/>
        <v>192.8527900726894</v>
      </c>
      <c r="W71" s="285">
        <f t="shared" si="9"/>
        <v>192.3433905011718</v>
      </c>
      <c r="X71" s="285">
        <f t="shared" si="9"/>
        <v>186.88550183307771</v>
      </c>
      <c r="Y71" s="285">
        <f t="shared" si="9"/>
        <v>186.38933013597827</v>
      </c>
      <c r="Z71" s="285">
        <f t="shared" si="9"/>
        <v>185.89315843887883</v>
      </c>
      <c r="AA71" s="285">
        <f t="shared" si="9"/>
        <v>185.39698674177936</v>
      </c>
      <c r="AB71" s="285">
        <f t="shared" si="9"/>
        <v>184.90081504467992</v>
      </c>
      <c r="AC71" s="410">
        <f t="shared" si="9"/>
        <v>184.40464334758042</v>
      </c>
      <c r="AD71" s="349">
        <f t="shared" si="5"/>
        <v>4405.9174054801706</v>
      </c>
    </row>
    <row r="72" spans="1:30" s="53" customFormat="1" ht="12">
      <c r="A72" s="44"/>
      <c r="B72" s="70"/>
      <c r="D72" s="210"/>
      <c r="E72" s="217"/>
      <c r="F72" s="45"/>
      <c r="G72" s="59"/>
      <c r="H72" s="59"/>
      <c r="I72" s="59"/>
      <c r="J72" s="59"/>
      <c r="K72" s="59"/>
      <c r="L72" s="59"/>
      <c r="M72" s="59"/>
      <c r="N72" s="59"/>
      <c r="O72" s="59"/>
      <c r="P72" s="59"/>
      <c r="Q72" s="59"/>
      <c r="R72" s="59"/>
      <c r="S72" s="59"/>
      <c r="T72" s="59"/>
      <c r="U72" s="59"/>
      <c r="V72" s="59"/>
      <c r="W72" s="59"/>
      <c r="X72" s="59"/>
      <c r="Y72" s="59"/>
      <c r="AC72" s="263"/>
      <c r="AD72" s="338"/>
    </row>
    <row r="73" spans="1:30" s="53" customFormat="1" ht="12">
      <c r="A73" s="44"/>
      <c r="B73" s="70"/>
      <c r="D73" s="210"/>
      <c r="E73" s="217"/>
      <c r="F73" s="45"/>
      <c r="G73" s="59"/>
      <c r="H73" s="59"/>
      <c r="I73" s="59"/>
      <c r="J73" s="59"/>
      <c r="K73" s="59"/>
      <c r="L73" s="59"/>
      <c r="M73" s="59"/>
      <c r="N73" s="59"/>
      <c r="O73" s="59"/>
      <c r="P73" s="59"/>
      <c r="Q73" s="59"/>
      <c r="R73" s="59"/>
      <c r="S73" s="59"/>
      <c r="T73" s="59"/>
      <c r="U73" s="59"/>
      <c r="V73" s="59"/>
      <c r="W73" s="59"/>
      <c r="X73" s="59"/>
      <c r="Y73" s="59"/>
      <c r="AC73" s="263"/>
      <c r="AD73" s="338"/>
    </row>
    <row r="74" spans="1:30" s="53" customFormat="1" ht="12">
      <c r="A74" s="44"/>
      <c r="B74" s="250" t="s">
        <v>446</v>
      </c>
      <c r="C74" s="54" t="s">
        <v>410</v>
      </c>
      <c r="D74" s="210"/>
      <c r="E74" s="217"/>
      <c r="F74" s="45">
        <f>F16</f>
        <v>0</v>
      </c>
      <c r="G74" s="45">
        <f t="shared" ref="G74:AC74" si="10">G16</f>
        <v>53.869102555965256</v>
      </c>
      <c r="H74" s="45">
        <f t="shared" si="10"/>
        <v>54.367913335022422</v>
      </c>
      <c r="I74" s="244">
        <f t="shared" si="10"/>
        <v>54.866724114079581</v>
      </c>
      <c r="J74" s="244">
        <f t="shared" si="10"/>
        <v>55.365534893136747</v>
      </c>
      <c r="K74" s="244">
        <f t="shared" si="10"/>
        <v>55.864345672193906</v>
      </c>
      <c r="L74" s="244">
        <f t="shared" si="10"/>
        <v>56.363156451251072</v>
      </c>
      <c r="M74" s="244">
        <f t="shared" si="10"/>
        <v>56.861967230308231</v>
      </c>
      <c r="N74" s="244">
        <f t="shared" si="10"/>
        <v>56.715260153711164</v>
      </c>
      <c r="O74" s="244">
        <f t="shared" si="10"/>
        <v>56.568553077114082</v>
      </c>
      <c r="P74" s="244">
        <f t="shared" si="10"/>
        <v>56.421846000517007</v>
      </c>
      <c r="Q74" s="244">
        <f t="shared" si="10"/>
        <v>56.27513892391994</v>
      </c>
      <c r="R74" s="244">
        <f t="shared" si="10"/>
        <v>56.128431847322865</v>
      </c>
      <c r="S74" s="244">
        <f t="shared" si="10"/>
        <v>55.981724770725798</v>
      </c>
      <c r="T74" s="244">
        <f t="shared" si="10"/>
        <v>55.835017694128723</v>
      </c>
      <c r="U74" s="244">
        <f t="shared" si="10"/>
        <v>55.688310617531627</v>
      </c>
      <c r="V74" s="244">
        <f t="shared" si="10"/>
        <v>55.541603540934545</v>
      </c>
      <c r="W74" s="244">
        <f t="shared" si="10"/>
        <v>55.394896464337471</v>
      </c>
      <c r="X74" s="244">
        <f t="shared" si="10"/>
        <v>53.823024527926385</v>
      </c>
      <c r="Y74" s="244">
        <f t="shared" si="10"/>
        <v>53.680127079161743</v>
      </c>
      <c r="Z74" s="244">
        <f t="shared" si="10"/>
        <v>53.5372296303971</v>
      </c>
      <c r="AA74" s="244">
        <f t="shared" si="10"/>
        <v>53.394332181632457</v>
      </c>
      <c r="AB74" s="244">
        <f t="shared" si="10"/>
        <v>53.251434732867814</v>
      </c>
      <c r="AC74" s="265">
        <f t="shared" si="10"/>
        <v>53.108537284103157</v>
      </c>
      <c r="AD74" s="340">
        <f t="shared" si="5"/>
        <v>1268.9042127782895</v>
      </c>
    </row>
    <row r="75" spans="1:30" s="53" customFormat="1" ht="12">
      <c r="A75" s="44"/>
      <c r="B75" s="70"/>
      <c r="C75" s="63" t="s">
        <v>131</v>
      </c>
      <c r="D75" s="210"/>
      <c r="E75" s="217"/>
      <c r="F75" s="45"/>
      <c r="G75" s="293"/>
      <c r="H75" s="293"/>
      <c r="I75" s="293"/>
      <c r="J75" s="293"/>
      <c r="K75" s="293"/>
      <c r="L75" s="293"/>
      <c r="M75" s="293"/>
      <c r="N75" s="293"/>
      <c r="O75" s="293"/>
      <c r="P75" s="293"/>
      <c r="Q75" s="293"/>
      <c r="R75" s="293"/>
      <c r="S75" s="293"/>
      <c r="T75" s="293"/>
      <c r="U75" s="293"/>
      <c r="V75" s="293"/>
      <c r="W75" s="293"/>
      <c r="X75" s="293"/>
      <c r="Y75" s="293"/>
      <c r="Z75" s="45"/>
      <c r="AA75" s="45"/>
      <c r="AB75" s="45"/>
      <c r="AC75" s="263"/>
      <c r="AD75" s="338"/>
    </row>
    <row r="76" spans="1:30" s="53" customFormat="1" ht="12">
      <c r="A76" s="44"/>
      <c r="B76" s="70"/>
      <c r="C76" s="224" t="s">
        <v>387</v>
      </c>
      <c r="D76" s="210" t="s">
        <v>601</v>
      </c>
      <c r="E76" s="217"/>
      <c r="F76" s="298">
        <f>F49</f>
        <v>0.39100279786137265</v>
      </c>
      <c r="G76" s="298">
        <f t="shared" ref="G76:AC76" si="11">G49</f>
        <v>0.39205714599476826</v>
      </c>
      <c r="H76" s="298">
        <f t="shared" si="11"/>
        <v>0.39311874523828177</v>
      </c>
      <c r="I76" s="298">
        <f t="shared" si="11"/>
        <v>0.39418767065254157</v>
      </c>
      <c r="J76" s="298">
        <f t="shared" si="11"/>
        <v>0.39526399833776032</v>
      </c>
      <c r="K76" s="298">
        <f t="shared" si="11"/>
        <v>0.39634780545179538</v>
      </c>
      <c r="L76" s="298">
        <f t="shared" si="11"/>
        <v>0.39743917022858699</v>
      </c>
      <c r="M76" s="298">
        <f t="shared" si="11"/>
        <v>0.39853817199698321</v>
      </c>
      <c r="N76" s="298">
        <f t="shared" si="11"/>
        <v>0.39964489119996166</v>
      </c>
      <c r="O76" s="298">
        <f t="shared" si="11"/>
        <v>0.40075940941425758</v>
      </c>
      <c r="P76" s="298">
        <f t="shared" si="11"/>
        <v>0.40188180937040846</v>
      </c>
      <c r="Q76" s="298">
        <f t="shared" si="11"/>
        <v>0.40301217497322528</v>
      </c>
      <c r="R76" s="298">
        <f t="shared" si="11"/>
        <v>0.40415059132270104</v>
      </c>
      <c r="S76" s="298">
        <f t="shared" si="11"/>
        <v>0.40529714473536788</v>
      </c>
      <c r="T76" s="298">
        <f t="shared" si="11"/>
        <v>0.40645192276611369</v>
      </c>
      <c r="U76" s="298">
        <f t="shared" si="11"/>
        <v>0.40761501423047014</v>
      </c>
      <c r="V76" s="298">
        <f t="shared" si="11"/>
        <v>0.40878650922738302</v>
      </c>
      <c r="W76" s="298">
        <f t="shared" si="11"/>
        <v>0.40996649916247907</v>
      </c>
      <c r="X76" s="298">
        <f t="shared" si="11"/>
        <v>0.41115507677183999</v>
      </c>
      <c r="Y76" s="298">
        <f t="shared" si="11"/>
        <v>0.41235233614629774</v>
      </c>
      <c r="Z76" s="298">
        <f t="shared" si="11"/>
        <v>0.41355837275626389</v>
      </c>
      <c r="AA76" s="298">
        <f t="shared" si="11"/>
        <v>0.41477328347710757</v>
      </c>
      <c r="AB76" s="298">
        <f t="shared" si="11"/>
        <v>0.415997166615095</v>
      </c>
      <c r="AC76" s="301">
        <f t="shared" si="11"/>
        <v>0.41723012193390652</v>
      </c>
      <c r="AD76" s="345">
        <f t="shared" si="5"/>
        <v>9.6905878298649686</v>
      </c>
    </row>
    <row r="77" spans="1:30" s="53" customFormat="1" ht="12">
      <c r="A77" s="44"/>
      <c r="B77" s="70"/>
      <c r="C77" s="224" t="s">
        <v>404</v>
      </c>
      <c r="D77" s="248">
        <f>D50</f>
        <v>0.38127571701364549</v>
      </c>
      <c r="E77" s="217"/>
      <c r="F77" s="45"/>
      <c r="G77" s="293"/>
      <c r="H77" s="293"/>
      <c r="I77" s="293"/>
      <c r="J77" s="293"/>
      <c r="K77" s="293"/>
      <c r="L77" s="293"/>
      <c r="M77" s="293"/>
      <c r="N77" s="293"/>
      <c r="O77" s="293"/>
      <c r="P77" s="293"/>
      <c r="Q77" s="293"/>
      <c r="R77" s="293"/>
      <c r="S77" s="293"/>
      <c r="T77" s="293"/>
      <c r="U77" s="293"/>
      <c r="V77" s="293"/>
      <c r="W77" s="293"/>
      <c r="X77" s="293"/>
      <c r="Y77" s="293"/>
      <c r="Z77" s="45"/>
      <c r="AA77" s="45"/>
      <c r="AB77" s="45"/>
      <c r="AC77" s="263"/>
      <c r="AD77" s="338"/>
    </row>
    <row r="78" spans="1:30" s="53" customFormat="1" ht="12">
      <c r="A78" s="44"/>
      <c r="B78" s="70"/>
      <c r="C78" s="224" t="s">
        <v>423</v>
      </c>
      <c r="D78" s="210">
        <f>'Mode Operating Assumptions'!C102</f>
        <v>0.17899999999999999</v>
      </c>
      <c r="E78" s="217"/>
      <c r="F78" s="45"/>
      <c r="G78" s="293"/>
      <c r="H78" s="293"/>
      <c r="I78" s="293"/>
      <c r="J78" s="293"/>
      <c r="K78" s="293"/>
      <c r="L78" s="293"/>
      <c r="M78" s="293"/>
      <c r="N78" s="293"/>
      <c r="O78" s="293"/>
      <c r="P78" s="293"/>
      <c r="Q78" s="293"/>
      <c r="R78" s="293"/>
      <c r="S78" s="293"/>
      <c r="T78" s="293"/>
      <c r="U78" s="293"/>
      <c r="V78" s="293"/>
      <c r="W78" s="293"/>
      <c r="X78" s="293"/>
      <c r="Y78" s="293"/>
      <c r="Z78" s="45"/>
      <c r="AA78" s="45"/>
      <c r="AB78" s="45"/>
      <c r="AC78" s="263"/>
      <c r="AD78" s="338"/>
    </row>
    <row r="79" spans="1:30" s="53" customFormat="1" ht="12">
      <c r="A79" s="44"/>
      <c r="B79" s="70"/>
      <c r="C79" s="224" t="s">
        <v>384</v>
      </c>
      <c r="D79" s="210">
        <f>D52</f>
        <v>13.91</v>
      </c>
      <c r="E79" s="217"/>
      <c r="F79" s="45"/>
      <c r="G79" s="293"/>
      <c r="H79" s="293"/>
      <c r="I79" s="293"/>
      <c r="J79" s="293"/>
      <c r="K79" s="293"/>
      <c r="L79" s="293"/>
      <c r="M79" s="293"/>
      <c r="N79" s="293"/>
      <c r="O79" s="293"/>
      <c r="P79" s="293"/>
      <c r="Q79" s="293"/>
      <c r="R79" s="293"/>
      <c r="S79" s="293"/>
      <c r="T79" s="293"/>
      <c r="U79" s="293"/>
      <c r="V79" s="293"/>
      <c r="W79" s="293"/>
      <c r="X79" s="293"/>
      <c r="Y79" s="293"/>
      <c r="Z79" s="45"/>
      <c r="AA79" s="45"/>
      <c r="AB79" s="45"/>
      <c r="AC79" s="263"/>
      <c r="AD79" s="338"/>
    </row>
    <row r="80" spans="1:30" s="53" customFormat="1" ht="12">
      <c r="A80" s="44"/>
      <c r="B80" s="70"/>
      <c r="C80" s="224" t="s">
        <v>385</v>
      </c>
      <c r="D80" s="210">
        <f t="shared" ref="D80" si="12">D53</f>
        <v>13.91</v>
      </c>
      <c r="E80" s="217"/>
      <c r="F80" s="45"/>
      <c r="G80" s="293"/>
      <c r="H80" s="293"/>
      <c r="I80" s="293"/>
      <c r="J80" s="293"/>
      <c r="K80" s="293"/>
      <c r="L80" s="293"/>
      <c r="M80" s="293"/>
      <c r="N80" s="293"/>
      <c r="O80" s="293"/>
      <c r="P80" s="293"/>
      <c r="Q80" s="293"/>
      <c r="R80" s="293"/>
      <c r="S80" s="293"/>
      <c r="T80" s="293"/>
      <c r="U80" s="293"/>
      <c r="V80" s="293"/>
      <c r="W80" s="293"/>
      <c r="X80" s="293"/>
      <c r="Y80" s="293"/>
      <c r="Z80" s="45"/>
      <c r="AA80" s="45"/>
      <c r="AB80" s="45"/>
      <c r="AC80" s="263"/>
      <c r="AD80" s="338"/>
    </row>
    <row r="81" spans="1:30" s="53" customFormat="1" ht="12">
      <c r="A81" s="44"/>
      <c r="B81" s="70"/>
      <c r="C81" s="224" t="s">
        <v>422</v>
      </c>
      <c r="D81" s="210">
        <f>'Mode Operating Assumptions'!C103</f>
        <v>12.5</v>
      </c>
      <c r="E81" s="217"/>
      <c r="F81" s="45"/>
      <c r="G81" s="293"/>
      <c r="H81" s="293"/>
      <c r="I81" s="293"/>
      <c r="J81" s="293"/>
      <c r="K81" s="293"/>
      <c r="L81" s="293"/>
      <c r="M81" s="293"/>
      <c r="N81" s="293"/>
      <c r="O81" s="293"/>
      <c r="P81" s="293"/>
      <c r="Q81" s="293"/>
      <c r="R81" s="293"/>
      <c r="S81" s="293"/>
      <c r="T81" s="293"/>
      <c r="U81" s="293"/>
      <c r="V81" s="293"/>
      <c r="W81" s="293"/>
      <c r="X81" s="293"/>
      <c r="Y81" s="293"/>
      <c r="Z81" s="45"/>
      <c r="AA81" s="45"/>
      <c r="AB81" s="45"/>
      <c r="AC81" s="263"/>
      <c r="AD81" s="338"/>
    </row>
    <row r="82" spans="1:30" s="53" customFormat="1" ht="12">
      <c r="A82" s="44"/>
      <c r="B82" s="70"/>
      <c r="C82" s="78" t="s">
        <v>424</v>
      </c>
      <c r="D82" s="210"/>
      <c r="E82" s="217"/>
      <c r="F82" s="255">
        <f>+(F76*$D$79)-($D$77*$D$80)-($D$78*$D$81)</f>
        <v>-2.102196305408115</v>
      </c>
      <c r="G82" s="255">
        <f t="shared" ref="G82:AC82" si="13">+(G76*$D$79)-($D$77*$D$80)-($D$78*$D$81)</f>
        <v>-2.0875303228725821</v>
      </c>
      <c r="H82" s="255">
        <f t="shared" si="13"/>
        <v>-2.0727634773953092</v>
      </c>
      <c r="I82" s="255">
        <f t="shared" si="13"/>
        <v>-2.0578947248829556</v>
      </c>
      <c r="J82" s="255">
        <f t="shared" si="13"/>
        <v>-2.042923006781562</v>
      </c>
      <c r="K82" s="255">
        <f t="shared" si="13"/>
        <v>-2.027847249825335</v>
      </c>
      <c r="L82" s="255">
        <f t="shared" si="13"/>
        <v>-2.0126663657801638</v>
      </c>
      <c r="M82" s="255">
        <f t="shared" si="13"/>
        <v>-1.9973792511817718</v>
      </c>
      <c r="N82" s="255">
        <f t="shared" si="13"/>
        <v>-1.9819847870683418</v>
      </c>
      <c r="O82" s="255">
        <f t="shared" si="13"/>
        <v>-1.9664818387074856</v>
      </c>
      <c r="P82" s="255">
        <f t="shared" si="13"/>
        <v>-1.9508692553174267</v>
      </c>
      <c r="Q82" s="255">
        <f t="shared" si="13"/>
        <v>-1.9351458697822448</v>
      </c>
      <c r="R82" s="255">
        <f t="shared" si="13"/>
        <v>-1.9193104983610372</v>
      </c>
      <c r="S82" s="255">
        <f t="shared" si="13"/>
        <v>-1.9033619403908411</v>
      </c>
      <c r="T82" s="255">
        <f t="shared" si="13"/>
        <v>-1.8872989779831668</v>
      </c>
      <c r="U82" s="255">
        <f t="shared" si="13"/>
        <v>-1.8711203757139687</v>
      </c>
      <c r="V82" s="255">
        <f t="shared" si="13"/>
        <v>-1.8548248803069107</v>
      </c>
      <c r="W82" s="255">
        <f t="shared" si="13"/>
        <v>-1.8384112203097249</v>
      </c>
      <c r="X82" s="255">
        <f t="shared" si="13"/>
        <v>-1.8218781057635143</v>
      </c>
      <c r="Y82" s="255">
        <f t="shared" si="13"/>
        <v>-1.805224227864807</v>
      </c>
      <c r="Z82" s="255">
        <f t="shared" si="13"/>
        <v>-1.7884482586201775</v>
      </c>
      <c r="AA82" s="255">
        <f t="shared" si="13"/>
        <v>-1.7715488504932422</v>
      </c>
      <c r="AB82" s="255">
        <f t="shared" si="13"/>
        <v>-1.7545246360438371</v>
      </c>
      <c r="AC82" s="268">
        <f t="shared" si="13"/>
        <v>-1.7373742275591688</v>
      </c>
      <c r="AD82" s="346">
        <f t="shared" si="5"/>
        <v>-46.189008654413698</v>
      </c>
    </row>
    <row r="83" spans="1:30">
      <c r="D83" s="210"/>
      <c r="E83" s="217"/>
      <c r="F83" s="255">
        <f>F82*F74</f>
        <v>0</v>
      </c>
      <c r="G83" s="255">
        <f t="shared" ref="G83:AC83" si="14">G82*G74</f>
        <v>-112.45338505151039</v>
      </c>
      <c r="H83" s="255">
        <f t="shared" si="14"/>
        <v>-112.69182510302788</v>
      </c>
      <c r="I83" s="255">
        <f t="shared" si="14"/>
        <v>-112.90994212597282</v>
      </c>
      <c r="J83" s="255">
        <f t="shared" si="14"/>
        <v>-113.10752501595641</v>
      </c>
      <c r="K83" s="255">
        <f t="shared" si="14"/>
        <v>-113.28435973465027</v>
      </c>
      <c r="L83" s="255">
        <f t="shared" si="14"/>
        <v>-113.44022925863828</v>
      </c>
      <c r="M83" s="255">
        <f t="shared" si="14"/>
        <v>-113.57491352719551</v>
      </c>
      <c r="N83" s="255">
        <f t="shared" si="14"/>
        <v>-112.40878281927883</v>
      </c>
      <c r="O83" s="255">
        <f t="shared" si="14"/>
        <v>-111.24103226810529</v>
      </c>
      <c r="P83" s="255">
        <f t="shared" si="14"/>
        <v>-110.07164469066315</v>
      </c>
      <c r="Q83" s="255">
        <f t="shared" si="14"/>
        <v>-108.90060266004571</v>
      </c>
      <c r="R83" s="255">
        <f t="shared" si="14"/>
        <v>-107.72788850110877</v>
      </c>
      <c r="S83" s="255">
        <f t="shared" si="14"/>
        <v>-106.55348428603466</v>
      </c>
      <c r="T83" s="255">
        <f t="shared" si="14"/>
        <v>-105.37737182980118</v>
      </c>
      <c r="U83" s="255">
        <f t="shared" si="14"/>
        <v>-104.19953268555197</v>
      </c>
      <c r="V83" s="255">
        <f t="shared" si="14"/>
        <v>-103.01994813986781</v>
      </c>
      <c r="W83" s="255">
        <f t="shared" si="14"/>
        <v>-101.83859920793351</v>
      </c>
      <c r="X83" s="255">
        <f t="shared" si="14"/>
        <v>-98.058989973401694</v>
      </c>
      <c r="Y83" s="255">
        <f t="shared" si="14"/>
        <v>-96.904665958164472</v>
      </c>
      <c r="Z83" s="255">
        <f t="shared" si="14"/>
        <v>-95.748565103832263</v>
      </c>
      <c r="AA83" s="255">
        <f t="shared" si="14"/>
        <v>-94.590667799225301</v>
      </c>
      <c r="AB83" s="255">
        <f t="shared" si="14"/>
        <v>-93.430954143497047</v>
      </c>
      <c r="AC83" s="268">
        <f t="shared" si="14"/>
        <v>-92.26940394076604</v>
      </c>
      <c r="AD83" s="346">
        <f t="shared" si="5"/>
        <v>-2433.8043138242292</v>
      </c>
    </row>
    <row r="84" spans="1:30" s="53" customFormat="1" ht="12">
      <c r="A84" s="44"/>
      <c r="B84" s="70"/>
      <c r="C84" s="62" t="s">
        <v>413</v>
      </c>
      <c r="D84" s="210"/>
      <c r="E84" s="217"/>
      <c r="F84" s="289">
        <f>F83</f>
        <v>0</v>
      </c>
      <c r="G84" s="289">
        <f t="shared" ref="G84:AC84" si="15">G83</f>
        <v>-112.45338505151039</v>
      </c>
      <c r="H84" s="289">
        <f t="shared" si="15"/>
        <v>-112.69182510302788</v>
      </c>
      <c r="I84" s="289">
        <f t="shared" si="15"/>
        <v>-112.90994212597282</v>
      </c>
      <c r="J84" s="289">
        <f t="shared" si="15"/>
        <v>-113.10752501595641</v>
      </c>
      <c r="K84" s="289">
        <f t="shared" si="15"/>
        <v>-113.28435973465027</v>
      </c>
      <c r="L84" s="289">
        <f t="shared" si="15"/>
        <v>-113.44022925863828</v>
      </c>
      <c r="M84" s="289">
        <f t="shared" si="15"/>
        <v>-113.57491352719551</v>
      </c>
      <c r="N84" s="289">
        <f t="shared" si="15"/>
        <v>-112.40878281927883</v>
      </c>
      <c r="O84" s="289">
        <f t="shared" si="15"/>
        <v>-111.24103226810529</v>
      </c>
      <c r="P84" s="289">
        <f t="shared" si="15"/>
        <v>-110.07164469066315</v>
      </c>
      <c r="Q84" s="289">
        <f t="shared" si="15"/>
        <v>-108.90060266004571</v>
      </c>
      <c r="R84" s="289">
        <f t="shared" si="15"/>
        <v>-107.72788850110877</v>
      </c>
      <c r="S84" s="289">
        <f t="shared" si="15"/>
        <v>-106.55348428603466</v>
      </c>
      <c r="T84" s="289">
        <f t="shared" si="15"/>
        <v>-105.37737182980118</v>
      </c>
      <c r="U84" s="289">
        <f t="shared" si="15"/>
        <v>-104.19953268555197</v>
      </c>
      <c r="V84" s="289">
        <f t="shared" si="15"/>
        <v>-103.01994813986781</v>
      </c>
      <c r="W84" s="289">
        <f t="shared" si="15"/>
        <v>-101.83859920793351</v>
      </c>
      <c r="X84" s="289">
        <f t="shared" si="15"/>
        <v>-98.058989973401694</v>
      </c>
      <c r="Y84" s="289">
        <f t="shared" si="15"/>
        <v>-96.904665958164472</v>
      </c>
      <c r="Z84" s="289">
        <f t="shared" si="15"/>
        <v>-95.748565103832263</v>
      </c>
      <c r="AA84" s="289">
        <f t="shared" si="15"/>
        <v>-94.590667799225301</v>
      </c>
      <c r="AB84" s="289">
        <f t="shared" si="15"/>
        <v>-93.430954143497047</v>
      </c>
      <c r="AC84" s="318">
        <f t="shared" si="15"/>
        <v>-92.26940394076604</v>
      </c>
      <c r="AD84" s="347">
        <f t="shared" si="5"/>
        <v>-2433.8043138242292</v>
      </c>
    </row>
    <row r="85" spans="1:30" s="53" customFormat="1" ht="12">
      <c r="A85" s="44"/>
      <c r="B85" s="70"/>
      <c r="C85" s="62"/>
      <c r="D85" s="210"/>
      <c r="E85" s="217"/>
      <c r="F85" s="45"/>
      <c r="G85" s="59"/>
      <c r="H85" s="59"/>
      <c r="I85" s="59"/>
      <c r="J85" s="59"/>
      <c r="K85" s="59"/>
      <c r="L85" s="59"/>
      <c r="M85" s="59"/>
      <c r="N85" s="59"/>
      <c r="O85" s="59"/>
      <c r="P85" s="59"/>
      <c r="Q85" s="59"/>
      <c r="R85" s="59"/>
      <c r="S85" s="59"/>
      <c r="T85" s="59"/>
      <c r="U85" s="59"/>
      <c r="V85" s="59"/>
      <c r="W85" s="59"/>
      <c r="X85" s="59"/>
      <c r="Y85" s="59"/>
      <c r="AC85" s="263"/>
      <c r="AD85" s="338"/>
    </row>
    <row r="86" spans="1:30" s="53" customFormat="1" ht="12">
      <c r="A86" s="44"/>
      <c r="B86" s="70"/>
      <c r="C86" s="63" t="s">
        <v>149</v>
      </c>
      <c r="D86" s="210"/>
      <c r="E86" s="217"/>
      <c r="F86" s="45"/>
      <c r="G86" s="59"/>
      <c r="H86" s="59"/>
      <c r="I86" s="59"/>
      <c r="J86" s="59"/>
      <c r="K86" s="59"/>
      <c r="L86" s="59"/>
      <c r="M86" s="59"/>
      <c r="N86" s="59"/>
      <c r="O86" s="59"/>
      <c r="P86" s="59"/>
      <c r="Q86" s="59"/>
      <c r="R86" s="59"/>
      <c r="S86" s="59"/>
      <c r="T86" s="59"/>
      <c r="U86" s="59"/>
      <c r="V86" s="59"/>
      <c r="W86" s="59"/>
      <c r="X86" s="59"/>
      <c r="Y86" s="59"/>
      <c r="AC86" s="263"/>
      <c r="AD86" s="338"/>
    </row>
    <row r="87" spans="1:30" s="53" customFormat="1" ht="12">
      <c r="A87" s="44"/>
      <c r="B87" s="70"/>
      <c r="C87" s="224" t="s">
        <v>430</v>
      </c>
      <c r="D87" s="253">
        <f>D60</f>
        <v>8.1905000000000001</v>
      </c>
      <c r="E87" s="217"/>
      <c r="F87" s="45"/>
      <c r="G87" s="59"/>
      <c r="H87" s="59"/>
      <c r="I87" s="59"/>
      <c r="J87" s="59"/>
      <c r="K87" s="59"/>
      <c r="L87" s="59"/>
      <c r="M87" s="59"/>
      <c r="N87" s="59"/>
      <c r="O87" s="59"/>
      <c r="P87" s="59"/>
      <c r="Q87" s="59"/>
      <c r="R87" s="59"/>
      <c r="S87" s="59"/>
      <c r="T87" s="59"/>
      <c r="U87" s="59"/>
      <c r="V87" s="59"/>
      <c r="W87" s="59"/>
      <c r="X87" s="59"/>
      <c r="Y87" s="59"/>
      <c r="AC87" s="263"/>
      <c r="AD87" s="338"/>
    </row>
    <row r="88" spans="1:30" s="53" customFormat="1" ht="12">
      <c r="A88" s="44"/>
      <c r="B88" s="70"/>
      <c r="C88" s="225" t="s">
        <v>386</v>
      </c>
      <c r="D88" s="253">
        <f t="shared" ref="D88" si="16">D61</f>
        <v>2.107407271835358</v>
      </c>
      <c r="E88" s="217"/>
      <c r="F88" s="45"/>
      <c r="G88" s="59"/>
      <c r="H88" s="59"/>
      <c r="I88" s="59"/>
      <c r="J88" s="59"/>
      <c r="K88" s="59"/>
      <c r="L88" s="59"/>
      <c r="M88" s="59"/>
      <c r="N88" s="59"/>
      <c r="O88" s="59"/>
      <c r="P88" s="59"/>
      <c r="Q88" s="59"/>
      <c r="R88" s="59"/>
      <c r="S88" s="59"/>
      <c r="T88" s="59"/>
      <c r="U88" s="59"/>
      <c r="V88" s="59"/>
      <c r="W88" s="59"/>
      <c r="X88" s="59"/>
      <c r="Y88" s="59"/>
      <c r="AC88" s="263"/>
      <c r="AD88" s="338"/>
    </row>
    <row r="89" spans="1:30" s="53" customFormat="1" ht="12">
      <c r="A89" s="44"/>
      <c r="B89" s="70"/>
      <c r="C89" s="225" t="s">
        <v>398</v>
      </c>
      <c r="D89" s="253">
        <v>0.1</v>
      </c>
      <c r="E89" s="217"/>
      <c r="F89" s="45"/>
      <c r="G89" s="59"/>
      <c r="H89" s="59"/>
      <c r="I89" s="59"/>
      <c r="J89" s="59"/>
      <c r="K89" s="59"/>
      <c r="L89" s="59"/>
      <c r="M89" s="59"/>
      <c r="N89" s="59"/>
      <c r="O89" s="59"/>
      <c r="P89" s="59"/>
      <c r="Q89" s="59"/>
      <c r="R89" s="59"/>
      <c r="S89" s="59"/>
      <c r="T89" s="59"/>
      <c r="U89" s="59"/>
      <c r="V89" s="59"/>
      <c r="W89" s="59"/>
      <c r="X89" s="59"/>
      <c r="Y89" s="59"/>
      <c r="AC89" s="263"/>
      <c r="AD89" s="338"/>
    </row>
    <row r="90" spans="1:30" s="53" customFormat="1" ht="12">
      <c r="A90" s="44"/>
      <c r="B90" s="70"/>
      <c r="C90" s="78" t="s">
        <v>425</v>
      </c>
      <c r="D90" s="253">
        <f>+D87-D88-D89</f>
        <v>5.9830927281646424</v>
      </c>
      <c r="E90" s="217"/>
      <c r="F90" s="233">
        <f t="shared" ref="F90:AC90" si="17">$D90*F74</f>
        <v>0</v>
      </c>
      <c r="G90" s="233">
        <f t="shared" si="17"/>
        <v>322.3038357753511</v>
      </c>
      <c r="H90" s="233">
        <f t="shared" si="17"/>
        <v>325.28826692025814</v>
      </c>
      <c r="I90" s="233">
        <f t="shared" si="17"/>
        <v>328.27269806516517</v>
      </c>
      <c r="J90" s="233">
        <f t="shared" si="17"/>
        <v>331.25712921007226</v>
      </c>
      <c r="K90" s="233">
        <f t="shared" si="17"/>
        <v>334.2415603549793</v>
      </c>
      <c r="L90" s="233">
        <f t="shared" si="17"/>
        <v>337.22599149988633</v>
      </c>
      <c r="M90" s="233">
        <f t="shared" si="17"/>
        <v>340.21042264479337</v>
      </c>
      <c r="N90" s="233">
        <f t="shared" si="17"/>
        <v>339.33266060163515</v>
      </c>
      <c r="O90" s="233">
        <f t="shared" si="17"/>
        <v>338.45489855847688</v>
      </c>
      <c r="P90" s="233">
        <f t="shared" si="17"/>
        <v>337.57713651531861</v>
      </c>
      <c r="Q90" s="233">
        <f t="shared" si="17"/>
        <v>336.6993744721604</v>
      </c>
      <c r="R90" s="233">
        <f t="shared" si="17"/>
        <v>335.82161242900219</v>
      </c>
      <c r="S90" s="233">
        <f t="shared" si="17"/>
        <v>334.94385038584397</v>
      </c>
      <c r="T90" s="233">
        <f t="shared" si="17"/>
        <v>334.0660883426857</v>
      </c>
      <c r="U90" s="233">
        <f t="shared" si="17"/>
        <v>333.18832629952732</v>
      </c>
      <c r="V90" s="233">
        <f t="shared" si="17"/>
        <v>332.31056425636905</v>
      </c>
      <c r="W90" s="233">
        <f t="shared" si="17"/>
        <v>331.43280221321078</v>
      </c>
      <c r="X90" s="233">
        <f t="shared" si="17"/>
        <v>322.02814666086357</v>
      </c>
      <c r="Y90" s="233">
        <f t="shared" si="17"/>
        <v>321.17317797428655</v>
      </c>
      <c r="Z90" s="233">
        <f t="shared" si="17"/>
        <v>320.31820928770952</v>
      </c>
      <c r="AA90" s="233">
        <f t="shared" si="17"/>
        <v>319.4632406011325</v>
      </c>
      <c r="AB90" s="233">
        <f t="shared" si="17"/>
        <v>318.60827191455547</v>
      </c>
      <c r="AC90" s="266">
        <f t="shared" si="17"/>
        <v>317.75330322797839</v>
      </c>
      <c r="AD90" s="348">
        <f t="shared" si="5"/>
        <v>7591.9715682112601</v>
      </c>
    </row>
    <row r="91" spans="1:30" s="53" customFormat="1" ht="12">
      <c r="A91" s="44"/>
      <c r="C91" s="62" t="s">
        <v>414</v>
      </c>
      <c r="D91" s="210"/>
      <c r="E91" s="217"/>
      <c r="F91" s="233">
        <f>F90</f>
        <v>0</v>
      </c>
      <c r="G91" s="233">
        <f t="shared" ref="G91:AC91" si="18">G90</f>
        <v>322.3038357753511</v>
      </c>
      <c r="H91" s="233">
        <f t="shared" si="18"/>
        <v>325.28826692025814</v>
      </c>
      <c r="I91" s="233">
        <f t="shared" si="18"/>
        <v>328.27269806516517</v>
      </c>
      <c r="J91" s="233">
        <f t="shared" si="18"/>
        <v>331.25712921007226</v>
      </c>
      <c r="K91" s="233">
        <f t="shared" si="18"/>
        <v>334.2415603549793</v>
      </c>
      <c r="L91" s="233">
        <f t="shared" si="18"/>
        <v>337.22599149988633</v>
      </c>
      <c r="M91" s="233">
        <f t="shared" si="18"/>
        <v>340.21042264479337</v>
      </c>
      <c r="N91" s="233">
        <f t="shared" si="18"/>
        <v>339.33266060163515</v>
      </c>
      <c r="O91" s="233">
        <f t="shared" si="18"/>
        <v>338.45489855847688</v>
      </c>
      <c r="P91" s="233">
        <f t="shared" si="18"/>
        <v>337.57713651531861</v>
      </c>
      <c r="Q91" s="233">
        <f t="shared" si="18"/>
        <v>336.6993744721604</v>
      </c>
      <c r="R91" s="233">
        <f t="shared" si="18"/>
        <v>335.82161242900219</v>
      </c>
      <c r="S91" s="233">
        <f t="shared" si="18"/>
        <v>334.94385038584397</v>
      </c>
      <c r="T91" s="233">
        <f t="shared" si="18"/>
        <v>334.0660883426857</v>
      </c>
      <c r="U91" s="233">
        <f t="shared" si="18"/>
        <v>333.18832629952732</v>
      </c>
      <c r="V91" s="233">
        <f t="shared" si="18"/>
        <v>332.31056425636905</v>
      </c>
      <c r="W91" s="233">
        <f t="shared" si="18"/>
        <v>331.43280221321078</v>
      </c>
      <c r="X91" s="233">
        <f t="shared" si="18"/>
        <v>322.02814666086357</v>
      </c>
      <c r="Y91" s="233">
        <f t="shared" si="18"/>
        <v>321.17317797428655</v>
      </c>
      <c r="Z91" s="233">
        <f t="shared" si="18"/>
        <v>320.31820928770952</v>
      </c>
      <c r="AA91" s="233">
        <f t="shared" si="18"/>
        <v>319.4632406011325</v>
      </c>
      <c r="AB91" s="233">
        <f t="shared" si="18"/>
        <v>318.60827191455547</v>
      </c>
      <c r="AC91" s="266">
        <f t="shared" si="18"/>
        <v>317.75330322797839</v>
      </c>
      <c r="AD91" s="348">
        <f t="shared" si="5"/>
        <v>7591.9715682112601</v>
      </c>
    </row>
    <row r="92" spans="1:30" s="53" customFormat="1" ht="12">
      <c r="A92" s="44"/>
      <c r="B92" s="70"/>
      <c r="D92" s="210"/>
      <c r="E92" s="217"/>
      <c r="F92" s="45"/>
      <c r="G92" s="59"/>
      <c r="H92" s="59"/>
      <c r="I92" s="59"/>
      <c r="J92" s="59"/>
      <c r="K92" s="59"/>
      <c r="L92" s="59"/>
      <c r="M92" s="59"/>
      <c r="N92" s="59"/>
      <c r="O92" s="59"/>
      <c r="P92" s="59"/>
      <c r="Q92" s="59"/>
      <c r="R92" s="59"/>
      <c r="S92" s="59"/>
      <c r="T92" s="59"/>
      <c r="U92" s="59"/>
      <c r="V92" s="59"/>
      <c r="W92" s="59"/>
      <c r="X92" s="59"/>
      <c r="Y92" s="59"/>
      <c r="AC92" s="263"/>
      <c r="AD92" s="338"/>
    </row>
    <row r="93" spans="1:30" s="53" customFormat="1" ht="12">
      <c r="A93" s="64" t="s">
        <v>343</v>
      </c>
      <c r="B93" s="64"/>
      <c r="D93" s="209"/>
      <c r="E93" s="217"/>
      <c r="F93" s="45"/>
      <c r="G93" s="57"/>
      <c r="AC93" s="263"/>
      <c r="AD93" s="338"/>
    </row>
    <row r="94" spans="1:30" s="53" customFormat="1" ht="12">
      <c r="A94" s="45"/>
      <c r="B94" s="45"/>
      <c r="C94" s="64" t="s">
        <v>94</v>
      </c>
      <c r="D94" s="209"/>
      <c r="E94" s="217"/>
      <c r="F94" s="45"/>
      <c r="G94" s="57"/>
      <c r="AC94" s="263"/>
      <c r="AD94" s="338"/>
    </row>
    <row r="95" spans="1:30" s="53" customFormat="1" ht="12">
      <c r="A95" s="45"/>
      <c r="B95" s="45"/>
      <c r="C95" s="55" t="s">
        <v>484</v>
      </c>
      <c r="D95" s="259">
        <v>0.5</v>
      </c>
      <c r="E95" s="217"/>
      <c r="F95" s="45"/>
      <c r="G95" s="57"/>
      <c r="AC95" s="263"/>
      <c r="AD95" s="338"/>
    </row>
    <row r="96" spans="1:30" s="53" customFormat="1" ht="12">
      <c r="A96" s="45"/>
      <c r="B96" s="45"/>
      <c r="C96" s="78"/>
      <c r="D96" s="209"/>
      <c r="E96" s="217"/>
      <c r="F96" s="45"/>
      <c r="G96" s="57"/>
      <c r="AC96" s="263"/>
      <c r="AD96" s="338"/>
    </row>
    <row r="97" spans="1:30" s="53" customFormat="1" ht="12">
      <c r="A97" s="44"/>
      <c r="B97" s="5" t="s">
        <v>351</v>
      </c>
      <c r="C97" s="78" t="s">
        <v>402</v>
      </c>
      <c r="D97" s="253"/>
      <c r="E97" s="217"/>
      <c r="F97" s="45">
        <f>F12</f>
        <v>0</v>
      </c>
      <c r="G97" s="45">
        <f t="shared" ref="G97:AC97" si="19">G12</f>
        <v>2844.2489889162348</v>
      </c>
      <c r="H97" s="45">
        <f t="shared" si="19"/>
        <v>2870.5858311259212</v>
      </c>
      <c r="I97" s="45">
        <f t="shared" si="19"/>
        <v>2896.9226733356068</v>
      </c>
      <c r="J97" s="45">
        <f t="shared" si="19"/>
        <v>2923.2595155452927</v>
      </c>
      <c r="K97" s="45">
        <f t="shared" si="19"/>
        <v>2949.5963577549796</v>
      </c>
      <c r="L97" s="45">
        <f t="shared" si="19"/>
        <v>2975.9331999646652</v>
      </c>
      <c r="M97" s="45">
        <f t="shared" si="19"/>
        <v>3002.2700421743507</v>
      </c>
      <c r="N97" s="45">
        <f t="shared" si="19"/>
        <v>2994.5240164475526</v>
      </c>
      <c r="O97" s="45">
        <f t="shared" si="19"/>
        <v>2986.7779907207528</v>
      </c>
      <c r="P97" s="45">
        <f t="shared" si="19"/>
        <v>2979.0319649939538</v>
      </c>
      <c r="Q97" s="45">
        <f t="shared" si="19"/>
        <v>2971.2859392671558</v>
      </c>
      <c r="R97" s="45">
        <f t="shared" si="19"/>
        <v>2963.5399135403559</v>
      </c>
      <c r="S97" s="45">
        <f t="shared" si="19"/>
        <v>2955.7938878135569</v>
      </c>
      <c r="T97" s="45">
        <f t="shared" si="19"/>
        <v>2948.0478620867575</v>
      </c>
      <c r="U97" s="45">
        <f t="shared" si="19"/>
        <v>2940.3018363599581</v>
      </c>
      <c r="V97" s="45">
        <f t="shared" si="19"/>
        <v>2932.5558106331587</v>
      </c>
      <c r="W97" s="45">
        <f t="shared" si="19"/>
        <v>2924.8097849063593</v>
      </c>
      <c r="X97" s="45">
        <f t="shared" si="19"/>
        <v>2841.8161029307171</v>
      </c>
      <c r="Y97" s="45">
        <f t="shared" si="19"/>
        <v>2834.2712227511133</v>
      </c>
      <c r="Z97" s="45">
        <f t="shared" si="19"/>
        <v>2826.7263425715096</v>
      </c>
      <c r="AA97" s="45">
        <f t="shared" si="19"/>
        <v>2819.1814623919054</v>
      </c>
      <c r="AB97" s="45">
        <f t="shared" si="19"/>
        <v>2811.6365822123021</v>
      </c>
      <c r="AC97" s="263">
        <f t="shared" si="19"/>
        <v>2804.0917020326974</v>
      </c>
      <c r="AD97" s="338">
        <f t="shared" ref="AD97:AD106" si="20">SUM(F97:AC97)</f>
        <v>66997.20903047685</v>
      </c>
    </row>
    <row r="98" spans="1:30" s="53" customFormat="1" ht="12">
      <c r="A98" s="44"/>
      <c r="B98" s="5"/>
      <c r="C98" s="78" t="s">
        <v>401</v>
      </c>
      <c r="D98" s="253"/>
      <c r="E98" s="217"/>
      <c r="F98" s="255">
        <f>$D$95*F55</f>
        <v>-3.0038325277040578</v>
      </c>
      <c r="G98" s="255">
        <f t="shared" ref="G98:AC98" si="21">$D$95*G55</f>
        <v>-2.9964995364362914</v>
      </c>
      <c r="H98" s="255">
        <f t="shared" si="21"/>
        <v>-2.989116113697655</v>
      </c>
      <c r="I98" s="255">
        <f t="shared" si="21"/>
        <v>-2.9816817374414781</v>
      </c>
      <c r="J98" s="255">
        <f t="shared" si="21"/>
        <v>-2.9741958783907814</v>
      </c>
      <c r="K98" s="255">
        <f t="shared" si="21"/>
        <v>-2.9666579999126679</v>
      </c>
      <c r="L98" s="255">
        <f t="shared" si="21"/>
        <v>-2.9590675578900822</v>
      </c>
      <c r="M98" s="255">
        <f t="shared" si="21"/>
        <v>-2.9514240005908863</v>
      </c>
      <c r="N98" s="255">
        <f t="shared" si="21"/>
        <v>-2.9437267685341713</v>
      </c>
      <c r="O98" s="255">
        <f t="shared" si="21"/>
        <v>-2.9359752943537432</v>
      </c>
      <c r="P98" s="255">
        <f t="shared" si="21"/>
        <v>-2.9281690026587137</v>
      </c>
      <c r="Q98" s="255">
        <f t="shared" si="21"/>
        <v>-2.9203073098911227</v>
      </c>
      <c r="R98" s="255">
        <f t="shared" si="21"/>
        <v>-2.9123896241805189</v>
      </c>
      <c r="S98" s="255">
        <f t="shared" si="21"/>
        <v>-2.9044153451954209</v>
      </c>
      <c r="T98" s="255">
        <f t="shared" si="21"/>
        <v>-2.8963838639915838</v>
      </c>
      <c r="U98" s="255">
        <f t="shared" si="21"/>
        <v>-2.8882945628569847</v>
      </c>
      <c r="V98" s="255">
        <f t="shared" si="21"/>
        <v>-2.8801468151534557</v>
      </c>
      <c r="W98" s="255">
        <f t="shared" si="21"/>
        <v>-2.8719399851548628</v>
      </c>
      <c r="X98" s="255">
        <f t="shared" si="21"/>
        <v>-2.8636734278817575</v>
      </c>
      <c r="Y98" s="255">
        <f t="shared" si="21"/>
        <v>-2.8553464889324038</v>
      </c>
      <c r="Z98" s="255">
        <f t="shared" si="21"/>
        <v>-2.8469585043100891</v>
      </c>
      <c r="AA98" s="255">
        <f t="shared" si="21"/>
        <v>-2.8385088002466214</v>
      </c>
      <c r="AB98" s="255">
        <f t="shared" si="21"/>
        <v>-2.8299966930219189</v>
      </c>
      <c r="AC98" s="268">
        <f t="shared" si="21"/>
        <v>-2.8214214887795848</v>
      </c>
      <c r="AD98" s="346">
        <f t="shared" si="20"/>
        <v>-69.960129327206857</v>
      </c>
    </row>
    <row r="99" spans="1:30" s="53" customFormat="1" ht="12">
      <c r="A99" s="44"/>
      <c r="C99" s="299" t="s">
        <v>155</v>
      </c>
      <c r="D99" s="253"/>
      <c r="E99" s="217"/>
      <c r="F99" s="255">
        <f>F98*F97</f>
        <v>0</v>
      </c>
      <c r="G99" s="255">
        <f t="shared" ref="G99:AC99" si="22">G98*G97</f>
        <v>-8522.7907767968882</v>
      </c>
      <c r="H99" s="255">
        <f t="shared" si="22"/>
        <v>-8580.5143635706663</v>
      </c>
      <c r="I99" s="255">
        <f t="shared" si="22"/>
        <v>-8637.7014298649228</v>
      </c>
      <c r="J99" s="255">
        <f t="shared" si="22"/>
        <v>-8694.3464026014426</v>
      </c>
      <c r="K99" s="255">
        <f t="shared" si="22"/>
        <v>-8750.4436312470771</v>
      </c>
      <c r="L99" s="255">
        <f t="shared" si="22"/>
        <v>-8805.9873864634592</v>
      </c>
      <c r="M99" s="255">
        <f t="shared" si="22"/>
        <v>-8860.9718587283915</v>
      </c>
      <c r="N99" s="255">
        <f t="shared" si="22"/>
        <v>-8815.0605062351224</v>
      </c>
      <c r="O99" s="255">
        <f t="shared" si="22"/>
        <v>-8769.1063904756429</v>
      </c>
      <c r="P99" s="255">
        <f t="shared" si="22"/>
        <v>-8723.1090578247731</v>
      </c>
      <c r="Q99" s="255">
        <f t="shared" si="22"/>
        <v>-8677.0680482185853</v>
      </c>
      <c r="R99" s="255">
        <f t="shared" si="22"/>
        <v>-8630.9828950397641</v>
      </c>
      <c r="S99" s="255">
        <f t="shared" si="22"/>
        <v>-8584.8531250005271</v>
      </c>
      <c r="T99" s="255">
        <f t="shared" si="22"/>
        <v>-8538.6782580229701</v>
      </c>
      <c r="U99" s="255">
        <f t="shared" si="22"/>
        <v>-8492.4578071168744</v>
      </c>
      <c r="V99" s="255">
        <f t="shared" si="22"/>
        <v>-8446.1912782548534</v>
      </c>
      <c r="W99" s="255">
        <f t="shared" si="22"/>
        <v>-8399.8781702447668</v>
      </c>
      <c r="X99" s="255">
        <f t="shared" si="22"/>
        <v>-8138.033260889184</v>
      </c>
      <c r="Y99" s="255">
        <f t="shared" si="22"/>
        <v>-8092.8263845645424</v>
      </c>
      <c r="Z99" s="255">
        <f t="shared" si="22"/>
        <v>-8047.5726003413138</v>
      </c>
      <c r="AA99" s="255">
        <f t="shared" si="22"/>
        <v>-8002.2713904915627</v>
      </c>
      <c r="AB99" s="255">
        <f t="shared" si="22"/>
        <v>-7956.9222296402659</v>
      </c>
      <c r="AC99" s="268">
        <f t="shared" si="22"/>
        <v>-7911.524584623573</v>
      </c>
      <c r="AD99" s="346">
        <f t="shared" si="20"/>
        <v>-195079.29183625718</v>
      </c>
    </row>
    <row r="100" spans="1:30" s="53" customFormat="1" ht="12">
      <c r="A100" s="44"/>
      <c r="B100" s="70"/>
      <c r="C100" s="78" t="s">
        <v>475</v>
      </c>
      <c r="D100" s="253">
        <f>$D$95*(D63)</f>
        <v>3.0165463640823211</v>
      </c>
      <c r="E100" s="217"/>
      <c r="F100" s="255">
        <f>$D100*F97</f>
        <v>0</v>
      </c>
      <c r="G100" s="255">
        <f t="shared" ref="G100:AC100" si="23">$D100*G97</f>
        <v>8579.8089460600859</v>
      </c>
      <c r="H100" s="255">
        <f t="shared" si="23"/>
        <v>8659.2552516691248</v>
      </c>
      <c r="I100" s="255">
        <f t="shared" si="23"/>
        <v>8738.701557278162</v>
      </c>
      <c r="J100" s="255">
        <f t="shared" si="23"/>
        <v>8818.147862887201</v>
      </c>
      <c r="K100" s="255">
        <f t="shared" si="23"/>
        <v>8897.5941684962418</v>
      </c>
      <c r="L100" s="255">
        <f t="shared" si="23"/>
        <v>8977.0404741052771</v>
      </c>
      <c r="M100" s="255">
        <f t="shared" si="23"/>
        <v>9056.4867797143143</v>
      </c>
      <c r="N100" s="255">
        <f t="shared" si="23"/>
        <v>9033.1205339720545</v>
      </c>
      <c r="O100" s="255">
        <f t="shared" si="23"/>
        <v>9009.7542882297876</v>
      </c>
      <c r="P100" s="255">
        <f t="shared" si="23"/>
        <v>8986.3880424875242</v>
      </c>
      <c r="Q100" s="255">
        <f t="shared" si="23"/>
        <v>8963.0217967452627</v>
      </c>
      <c r="R100" s="255">
        <f t="shared" si="23"/>
        <v>8939.6555510029975</v>
      </c>
      <c r="S100" s="255">
        <f t="shared" si="23"/>
        <v>8916.2893052607342</v>
      </c>
      <c r="T100" s="255">
        <f t="shared" si="23"/>
        <v>8892.923059518469</v>
      </c>
      <c r="U100" s="255">
        <f t="shared" si="23"/>
        <v>8869.5568137762039</v>
      </c>
      <c r="V100" s="255">
        <f t="shared" si="23"/>
        <v>8846.1905680339387</v>
      </c>
      <c r="W100" s="255">
        <f t="shared" si="23"/>
        <v>8822.8243222916735</v>
      </c>
      <c r="X100" s="255">
        <f t="shared" si="23"/>
        <v>8572.4700326862458</v>
      </c>
      <c r="Y100" s="255">
        <f t="shared" si="23"/>
        <v>8549.7105518130247</v>
      </c>
      <c r="Z100" s="255">
        <f t="shared" si="23"/>
        <v>8526.9510709398055</v>
      </c>
      <c r="AA100" s="255">
        <f t="shared" si="23"/>
        <v>8504.1915900665826</v>
      </c>
      <c r="AB100" s="255">
        <f t="shared" si="23"/>
        <v>8481.4321091933634</v>
      </c>
      <c r="AC100" s="268">
        <f t="shared" si="23"/>
        <v>8458.6726283201406</v>
      </c>
      <c r="AD100" s="346">
        <f t="shared" si="20"/>
        <v>202100.18730454819</v>
      </c>
    </row>
    <row r="101" spans="1:30" s="53" customFormat="1" ht="12">
      <c r="A101" s="45"/>
      <c r="B101" s="45"/>
      <c r="C101" s="78"/>
      <c r="D101" s="253"/>
      <c r="E101" s="217"/>
      <c r="F101" s="255"/>
      <c r="G101" s="255"/>
      <c r="H101" s="255"/>
      <c r="I101" s="255"/>
      <c r="J101" s="255"/>
      <c r="K101" s="255"/>
      <c r="L101" s="255"/>
      <c r="M101" s="255"/>
      <c r="N101" s="255"/>
      <c r="O101" s="255"/>
      <c r="P101" s="255"/>
      <c r="Q101" s="255"/>
      <c r="R101" s="255"/>
      <c r="S101" s="255"/>
      <c r="T101" s="255"/>
      <c r="U101" s="255"/>
      <c r="V101" s="255"/>
      <c r="W101" s="255"/>
      <c r="X101" s="255"/>
      <c r="Y101" s="255"/>
      <c r="Z101" s="255"/>
      <c r="AA101" s="255"/>
      <c r="AB101" s="255"/>
      <c r="AC101" s="268"/>
      <c r="AD101" s="346">
        <f t="shared" si="20"/>
        <v>0</v>
      </c>
    </row>
    <row r="102" spans="1:30" s="53" customFormat="1" ht="12">
      <c r="A102" s="45"/>
      <c r="B102" s="5" t="s">
        <v>261</v>
      </c>
      <c r="C102" s="78"/>
      <c r="D102" s="253"/>
      <c r="E102" s="217"/>
      <c r="F102" s="255"/>
      <c r="G102" s="255"/>
      <c r="H102" s="255"/>
      <c r="I102" s="255"/>
      <c r="J102" s="255"/>
      <c r="K102" s="255"/>
      <c r="L102" s="255"/>
      <c r="M102" s="255"/>
      <c r="N102" s="255"/>
      <c r="O102" s="255"/>
      <c r="P102" s="255"/>
      <c r="Q102" s="255"/>
      <c r="R102" s="255"/>
      <c r="S102" s="255"/>
      <c r="T102" s="255"/>
      <c r="U102" s="255"/>
      <c r="V102" s="255"/>
      <c r="W102" s="255"/>
      <c r="X102" s="255"/>
      <c r="Y102" s="255"/>
      <c r="Z102" s="255"/>
      <c r="AA102" s="255"/>
      <c r="AB102" s="255"/>
      <c r="AC102" s="268"/>
      <c r="AD102" s="346">
        <f t="shared" si="20"/>
        <v>0</v>
      </c>
    </row>
    <row r="103" spans="1:30" s="53" customFormat="1" ht="12">
      <c r="A103" s="44"/>
      <c r="B103" s="5"/>
      <c r="C103" s="78" t="s">
        <v>411</v>
      </c>
      <c r="D103" s="253"/>
      <c r="E103" s="217"/>
      <c r="F103" s="45">
        <f>F17</f>
        <v>0</v>
      </c>
      <c r="G103" s="45">
        <f t="shared" ref="G103:AC103" si="24">G17</f>
        <v>53.869102555965256</v>
      </c>
      <c r="H103" s="45">
        <f t="shared" si="24"/>
        <v>54.367913335022422</v>
      </c>
      <c r="I103" s="45">
        <f t="shared" si="24"/>
        <v>54.866724114079581</v>
      </c>
      <c r="J103" s="45">
        <f t="shared" si="24"/>
        <v>55.365534893136747</v>
      </c>
      <c r="K103" s="45">
        <f t="shared" si="24"/>
        <v>55.864345672193906</v>
      </c>
      <c r="L103" s="45">
        <f t="shared" si="24"/>
        <v>56.363156451251072</v>
      </c>
      <c r="M103" s="45">
        <f t="shared" si="24"/>
        <v>56.861967230308231</v>
      </c>
      <c r="N103" s="45">
        <f t="shared" si="24"/>
        <v>56.715260153711164</v>
      </c>
      <c r="O103" s="45">
        <f t="shared" si="24"/>
        <v>56.568553077114082</v>
      </c>
      <c r="P103" s="45">
        <f t="shared" si="24"/>
        <v>56.421846000517007</v>
      </c>
      <c r="Q103" s="45">
        <f t="shared" si="24"/>
        <v>56.27513892391994</v>
      </c>
      <c r="R103" s="45">
        <f t="shared" si="24"/>
        <v>56.128431847322865</v>
      </c>
      <c r="S103" s="45">
        <f t="shared" si="24"/>
        <v>55.981724770725798</v>
      </c>
      <c r="T103" s="45">
        <f t="shared" si="24"/>
        <v>55.835017694128723</v>
      </c>
      <c r="U103" s="45">
        <f t="shared" si="24"/>
        <v>55.688310617531627</v>
      </c>
      <c r="V103" s="45">
        <f t="shared" si="24"/>
        <v>55.541603540934545</v>
      </c>
      <c r="W103" s="45">
        <f t="shared" si="24"/>
        <v>55.394896464337471</v>
      </c>
      <c r="X103" s="45">
        <f t="shared" si="24"/>
        <v>53.823024527926385</v>
      </c>
      <c r="Y103" s="45">
        <f t="shared" si="24"/>
        <v>53.680127079161743</v>
      </c>
      <c r="Z103" s="45">
        <f t="shared" si="24"/>
        <v>53.5372296303971</v>
      </c>
      <c r="AA103" s="45">
        <f t="shared" si="24"/>
        <v>53.394332181632457</v>
      </c>
      <c r="AB103" s="45">
        <f t="shared" si="24"/>
        <v>53.251434732867814</v>
      </c>
      <c r="AC103" s="263">
        <f t="shared" si="24"/>
        <v>53.108537284103157</v>
      </c>
      <c r="AD103" s="338">
        <f t="shared" si="20"/>
        <v>1268.9042127782895</v>
      </c>
    </row>
    <row r="104" spans="1:30" s="53" customFormat="1" ht="12">
      <c r="A104" s="44"/>
      <c r="B104" s="5"/>
      <c r="C104" s="78" t="s">
        <v>427</v>
      </c>
      <c r="D104" s="253"/>
      <c r="E104" s="217"/>
      <c r="F104" s="255">
        <f>F82*$D$95</f>
        <v>-1.0510981527040575</v>
      </c>
      <c r="G104" s="255">
        <f t="shared" ref="G104:AC104" si="25">G82*$D$95</f>
        <v>-1.0437651614362911</v>
      </c>
      <c r="H104" s="255">
        <f t="shared" si="25"/>
        <v>-1.0363817386976546</v>
      </c>
      <c r="I104" s="255">
        <f t="shared" si="25"/>
        <v>-1.0289473624414778</v>
      </c>
      <c r="J104" s="255">
        <f t="shared" si="25"/>
        <v>-1.021461503390781</v>
      </c>
      <c r="K104" s="255">
        <f t="shared" si="25"/>
        <v>-1.0139236249126675</v>
      </c>
      <c r="L104" s="255">
        <f t="shared" si="25"/>
        <v>-1.0063331828900819</v>
      </c>
      <c r="M104" s="255">
        <f t="shared" si="25"/>
        <v>-0.99868962559088592</v>
      </c>
      <c r="N104" s="255">
        <f t="shared" si="25"/>
        <v>-0.9909923935341709</v>
      </c>
      <c r="O104" s="255">
        <f t="shared" si="25"/>
        <v>-0.9832409193537428</v>
      </c>
      <c r="P104" s="255">
        <f t="shared" si="25"/>
        <v>-0.97543462765871336</v>
      </c>
      <c r="Q104" s="255">
        <f t="shared" si="25"/>
        <v>-0.96757293489112239</v>
      </c>
      <c r="R104" s="255">
        <f t="shared" si="25"/>
        <v>-0.95965524918051859</v>
      </c>
      <c r="S104" s="255">
        <f t="shared" si="25"/>
        <v>-0.95168097019542053</v>
      </c>
      <c r="T104" s="255">
        <f t="shared" si="25"/>
        <v>-0.94364948899158341</v>
      </c>
      <c r="U104" s="255">
        <f t="shared" si="25"/>
        <v>-0.93556018785698436</v>
      </c>
      <c r="V104" s="255">
        <f t="shared" si="25"/>
        <v>-0.92741244015345536</v>
      </c>
      <c r="W104" s="255">
        <f t="shared" si="25"/>
        <v>-0.91920561015486246</v>
      </c>
      <c r="X104" s="255">
        <f t="shared" si="25"/>
        <v>-0.91093905288175714</v>
      </c>
      <c r="Y104" s="255">
        <f t="shared" si="25"/>
        <v>-0.90261211393240348</v>
      </c>
      <c r="Z104" s="255">
        <f t="shared" si="25"/>
        <v>-0.89422412931008877</v>
      </c>
      <c r="AA104" s="255">
        <f t="shared" si="25"/>
        <v>-0.88577442524662109</v>
      </c>
      <c r="AB104" s="255">
        <f t="shared" si="25"/>
        <v>-0.87726231802191856</v>
      </c>
      <c r="AC104" s="268">
        <f t="shared" si="25"/>
        <v>-0.86868711377958441</v>
      </c>
      <c r="AD104" s="346">
        <f t="shared" si="20"/>
        <v>-23.094504327206849</v>
      </c>
    </row>
    <row r="105" spans="1:30" s="53" customFormat="1" ht="12">
      <c r="A105" s="44"/>
      <c r="B105" s="5"/>
      <c r="C105" s="299" t="s">
        <v>155</v>
      </c>
      <c r="D105" s="253"/>
      <c r="E105" s="217"/>
      <c r="F105" s="255">
        <f>F104*F103</f>
        <v>0</v>
      </c>
      <c r="G105" s="255">
        <f t="shared" ref="G105:AC105" si="26">G104*G103</f>
        <v>-56.226692525755197</v>
      </c>
      <c r="H105" s="255">
        <f t="shared" si="26"/>
        <v>-56.345912551513941</v>
      </c>
      <c r="I105" s="255">
        <f t="shared" si="26"/>
        <v>-56.454971062986409</v>
      </c>
      <c r="J105" s="255">
        <f t="shared" si="26"/>
        <v>-56.553762507978206</v>
      </c>
      <c r="K105" s="255">
        <f t="shared" si="26"/>
        <v>-56.642179867325133</v>
      </c>
      <c r="L105" s="255">
        <f t="shared" si="26"/>
        <v>-56.720114629319141</v>
      </c>
      <c r="M105" s="255">
        <f t="shared" si="26"/>
        <v>-56.787456763597753</v>
      </c>
      <c r="N105" s="255">
        <f t="shared" si="26"/>
        <v>-56.204391409639413</v>
      </c>
      <c r="O105" s="255">
        <f t="shared" si="26"/>
        <v>-55.620516134052643</v>
      </c>
      <c r="P105" s="255">
        <f t="shared" si="26"/>
        <v>-55.035822345331574</v>
      </c>
      <c r="Q105" s="255">
        <f t="shared" si="26"/>
        <v>-54.450301330022853</v>
      </c>
      <c r="R105" s="255">
        <f t="shared" si="26"/>
        <v>-53.863944250554383</v>
      </c>
      <c r="S105" s="255">
        <f t="shared" si="26"/>
        <v>-53.27674214301733</v>
      </c>
      <c r="T105" s="255">
        <f t="shared" si="26"/>
        <v>-52.688685914900589</v>
      </c>
      <c r="U105" s="255">
        <f t="shared" si="26"/>
        <v>-52.099766342775986</v>
      </c>
      <c r="V105" s="255">
        <f t="shared" si="26"/>
        <v>-51.509974069933904</v>
      </c>
      <c r="W105" s="255">
        <f t="shared" si="26"/>
        <v>-50.919299603966756</v>
      </c>
      <c r="X105" s="255">
        <f t="shared" si="26"/>
        <v>-49.029494986700847</v>
      </c>
      <c r="Y105" s="255">
        <f t="shared" si="26"/>
        <v>-48.452332979082236</v>
      </c>
      <c r="Z105" s="255">
        <f t="shared" si="26"/>
        <v>-47.874282551916131</v>
      </c>
      <c r="AA105" s="255">
        <f t="shared" si="26"/>
        <v>-47.29533389961265</v>
      </c>
      <c r="AB105" s="255">
        <f t="shared" si="26"/>
        <v>-46.715477071748523</v>
      </c>
      <c r="AC105" s="268">
        <f t="shared" si="26"/>
        <v>-46.13470197038302</v>
      </c>
      <c r="AD105" s="346">
        <f t="shared" si="20"/>
        <v>-1216.9021569121146</v>
      </c>
    </row>
    <row r="106" spans="1:30" s="53" customFormat="1" ht="12">
      <c r="A106" s="44"/>
      <c r="B106" s="5"/>
      <c r="C106" s="78" t="s">
        <v>428</v>
      </c>
      <c r="D106" s="253">
        <f>D90</f>
        <v>5.9830927281646424</v>
      </c>
      <c r="E106" s="217"/>
      <c r="F106" s="255">
        <f>$D106*F103</f>
        <v>0</v>
      </c>
      <c r="G106" s="255">
        <f t="shared" ref="G106:AC106" si="27">$D106*G103</f>
        <v>322.3038357753511</v>
      </c>
      <c r="H106" s="255">
        <f t="shared" si="27"/>
        <v>325.28826692025814</v>
      </c>
      <c r="I106" s="255">
        <f t="shared" si="27"/>
        <v>328.27269806516517</v>
      </c>
      <c r="J106" s="255">
        <f t="shared" si="27"/>
        <v>331.25712921007226</v>
      </c>
      <c r="K106" s="255">
        <f t="shared" si="27"/>
        <v>334.2415603549793</v>
      </c>
      <c r="L106" s="255">
        <f t="shared" si="27"/>
        <v>337.22599149988633</v>
      </c>
      <c r="M106" s="255">
        <f t="shared" si="27"/>
        <v>340.21042264479337</v>
      </c>
      <c r="N106" s="255">
        <f t="shared" si="27"/>
        <v>339.33266060163515</v>
      </c>
      <c r="O106" s="255">
        <f t="shared" si="27"/>
        <v>338.45489855847688</v>
      </c>
      <c r="P106" s="255">
        <f t="shared" si="27"/>
        <v>337.57713651531861</v>
      </c>
      <c r="Q106" s="255">
        <f t="shared" si="27"/>
        <v>336.6993744721604</v>
      </c>
      <c r="R106" s="255">
        <f t="shared" si="27"/>
        <v>335.82161242900219</v>
      </c>
      <c r="S106" s="255">
        <f t="shared" si="27"/>
        <v>334.94385038584397</v>
      </c>
      <c r="T106" s="255">
        <f t="shared" si="27"/>
        <v>334.0660883426857</v>
      </c>
      <c r="U106" s="255">
        <f t="shared" si="27"/>
        <v>333.18832629952732</v>
      </c>
      <c r="V106" s="255">
        <f t="shared" si="27"/>
        <v>332.31056425636905</v>
      </c>
      <c r="W106" s="255">
        <f t="shared" si="27"/>
        <v>331.43280221321078</v>
      </c>
      <c r="X106" s="255">
        <f t="shared" si="27"/>
        <v>322.02814666086357</v>
      </c>
      <c r="Y106" s="255">
        <f t="shared" si="27"/>
        <v>321.17317797428655</v>
      </c>
      <c r="Z106" s="255">
        <f t="shared" si="27"/>
        <v>320.31820928770952</v>
      </c>
      <c r="AA106" s="255">
        <f t="shared" si="27"/>
        <v>319.4632406011325</v>
      </c>
      <c r="AB106" s="255">
        <f t="shared" si="27"/>
        <v>318.60827191455547</v>
      </c>
      <c r="AC106" s="268">
        <f t="shared" si="27"/>
        <v>317.75330322797839</v>
      </c>
      <c r="AD106" s="346">
        <f t="shared" si="20"/>
        <v>7591.9715682112601</v>
      </c>
    </row>
    <row r="107" spans="1:30" s="53" customFormat="1" ht="12">
      <c r="A107" s="45"/>
      <c r="B107" s="5"/>
      <c r="C107" s="78"/>
      <c r="D107" s="253"/>
      <c r="E107" s="217"/>
      <c r="F107" s="45"/>
      <c r="G107" s="57"/>
      <c r="AC107" s="263"/>
      <c r="AD107" s="338"/>
    </row>
    <row r="108" spans="1:30" s="53" customFormat="1" ht="12">
      <c r="A108" s="45"/>
      <c r="B108" s="55"/>
      <c r="C108" s="5" t="s">
        <v>487</v>
      </c>
      <c r="D108" s="253"/>
      <c r="E108" s="220"/>
      <c r="F108" s="83">
        <f>F99+F100+F105+F106</f>
        <v>0</v>
      </c>
      <c r="G108" s="83">
        <f t="shared" ref="G108:AC108" si="28">G99+G100+G105+G106</f>
        <v>323.09531251279361</v>
      </c>
      <c r="H108" s="83">
        <f t="shared" si="28"/>
        <v>347.68324246720272</v>
      </c>
      <c r="I108" s="83">
        <f t="shared" si="28"/>
        <v>372.81785441541791</v>
      </c>
      <c r="J108" s="83">
        <f t="shared" si="28"/>
        <v>398.50482698785243</v>
      </c>
      <c r="K108" s="83">
        <f t="shared" si="28"/>
        <v>424.74991773681887</v>
      </c>
      <c r="L108" s="83">
        <f t="shared" si="28"/>
        <v>451.5589645123851</v>
      </c>
      <c r="M108" s="83">
        <f t="shared" si="28"/>
        <v>478.93788686711844</v>
      </c>
      <c r="N108" s="83">
        <f t="shared" si="28"/>
        <v>501.18829692892791</v>
      </c>
      <c r="O108" s="83">
        <f t="shared" si="28"/>
        <v>523.48228017856889</v>
      </c>
      <c r="P108" s="83">
        <f t="shared" si="28"/>
        <v>545.8202988327381</v>
      </c>
      <c r="Q108" s="83">
        <f t="shared" si="28"/>
        <v>568.20282166881498</v>
      </c>
      <c r="R108" s="83">
        <f t="shared" si="28"/>
        <v>590.63032414168129</v>
      </c>
      <c r="S108" s="83">
        <f t="shared" si="28"/>
        <v>613.1032885030337</v>
      </c>
      <c r="T108" s="83">
        <f t="shared" si="28"/>
        <v>635.62220392328402</v>
      </c>
      <c r="U108" s="83">
        <f t="shared" si="28"/>
        <v>658.18756661608086</v>
      </c>
      <c r="V108" s="83">
        <f t="shared" si="28"/>
        <v>680.7998799655204</v>
      </c>
      <c r="W108" s="83">
        <f t="shared" si="28"/>
        <v>703.45965465615075</v>
      </c>
      <c r="X108" s="83">
        <f t="shared" si="28"/>
        <v>707.43542347122445</v>
      </c>
      <c r="Y108" s="83">
        <f t="shared" si="28"/>
        <v>729.60501224368659</v>
      </c>
      <c r="Z108" s="83">
        <f t="shared" si="28"/>
        <v>751.82239733428514</v>
      </c>
      <c r="AA108" s="83">
        <f t="shared" si="28"/>
        <v>774.08810627653975</v>
      </c>
      <c r="AB108" s="83">
        <f t="shared" si="28"/>
        <v>796.40267439590457</v>
      </c>
      <c r="AC108" s="272">
        <f t="shared" si="28"/>
        <v>818.76664495416298</v>
      </c>
      <c r="AD108" s="355">
        <f t="shared" ref="AD108:AD177" si="29">SUM(F108:AC108)</f>
        <v>13395.964879590194</v>
      </c>
    </row>
    <row r="109" spans="1:30" s="53" customFormat="1" ht="12">
      <c r="A109" s="45"/>
      <c r="B109" s="45"/>
      <c r="D109" s="209"/>
      <c r="E109" s="217"/>
      <c r="F109" s="45"/>
      <c r="G109" s="57"/>
      <c r="AC109" s="263"/>
      <c r="AD109" s="338"/>
    </row>
    <row r="110" spans="1:30" s="53" customFormat="1" ht="12">
      <c r="A110" s="45"/>
      <c r="B110" s="5" t="s">
        <v>507</v>
      </c>
      <c r="C110" s="5"/>
      <c r="D110" s="209"/>
      <c r="E110" s="217"/>
      <c r="G110" s="57"/>
      <c r="AC110" s="263"/>
      <c r="AD110" s="338"/>
    </row>
    <row r="111" spans="1:30" s="53" customFormat="1" ht="12">
      <c r="A111" s="45"/>
      <c r="B111" s="55" t="s">
        <v>508</v>
      </c>
      <c r="C111" s="225" t="s">
        <v>509</v>
      </c>
      <c r="D111" s="287">
        <v>5.3999999999999999E-2</v>
      </c>
      <c r="E111" s="217"/>
      <c r="G111" s="57"/>
      <c r="AC111" s="263"/>
      <c r="AD111" s="338"/>
    </row>
    <row r="112" spans="1:30" s="53" customFormat="1" ht="12">
      <c r="A112" s="45"/>
      <c r="C112" s="70" t="s">
        <v>505</v>
      </c>
      <c r="D112" s="209"/>
      <c r="E112" s="217"/>
      <c r="F112" s="255">
        <f>-F23*$D$111</f>
        <v>0</v>
      </c>
      <c r="G112" s="255">
        <f t="shared" ref="G112:AC112" si="30">-G23*$D$111</f>
        <v>1017.2394501067422</v>
      </c>
      <c r="H112" s="255">
        <f t="shared" si="30"/>
        <v>1026.6587643057912</v>
      </c>
      <c r="I112" s="255">
        <f t="shared" si="30"/>
        <v>1036.0780785048401</v>
      </c>
      <c r="J112" s="255">
        <f t="shared" si="30"/>
        <v>1045.4973927038886</v>
      </c>
      <c r="K112" s="255">
        <f t="shared" si="30"/>
        <v>1054.9167069029379</v>
      </c>
      <c r="L112" s="255">
        <f t="shared" si="30"/>
        <v>1064.3360211019865</v>
      </c>
      <c r="M112" s="255">
        <f t="shared" si="30"/>
        <v>1073.7553353010355</v>
      </c>
      <c r="N112" s="255">
        <f t="shared" si="30"/>
        <v>1070.9849860870436</v>
      </c>
      <c r="O112" s="255">
        <f t="shared" si="30"/>
        <v>1068.2146368730514</v>
      </c>
      <c r="P112" s="255">
        <f t="shared" si="30"/>
        <v>1065.4442876590592</v>
      </c>
      <c r="Q112" s="255">
        <f t="shared" si="30"/>
        <v>1062.6739384450675</v>
      </c>
      <c r="R112" s="255">
        <f t="shared" si="30"/>
        <v>1059.9035892310751</v>
      </c>
      <c r="S112" s="255">
        <f t="shared" si="30"/>
        <v>1057.1332400170832</v>
      </c>
      <c r="T112" s="255">
        <f t="shared" si="30"/>
        <v>1054.362890803091</v>
      </c>
      <c r="U112" s="255">
        <f t="shared" si="30"/>
        <v>1051.5925415890988</v>
      </c>
      <c r="V112" s="255">
        <f t="shared" si="30"/>
        <v>1048.8221923751066</v>
      </c>
      <c r="W112" s="255">
        <f t="shared" si="30"/>
        <v>1046.0518431611144</v>
      </c>
      <c r="X112" s="255">
        <f t="shared" si="30"/>
        <v>1016.3693337379838</v>
      </c>
      <c r="Y112" s="255">
        <f t="shared" si="30"/>
        <v>1013.6709237904265</v>
      </c>
      <c r="Z112" s="255">
        <f t="shared" si="30"/>
        <v>1010.9725138428693</v>
      </c>
      <c r="AA112" s="255">
        <f t="shared" si="30"/>
        <v>1008.2741038953117</v>
      </c>
      <c r="AB112" s="255">
        <f t="shared" si="30"/>
        <v>1005.5756939477545</v>
      </c>
      <c r="AC112" s="268">
        <f t="shared" si="30"/>
        <v>1002.8772840001969</v>
      </c>
      <c r="AD112" s="346">
        <f t="shared" si="29"/>
        <v>23961.405748382556</v>
      </c>
    </row>
    <row r="113" spans="1:30" s="53" customFormat="1" ht="12">
      <c r="A113" s="45"/>
      <c r="B113" s="45"/>
      <c r="C113" s="225" t="s">
        <v>514</v>
      </c>
      <c r="D113" s="209">
        <v>3.2</v>
      </c>
      <c r="E113" s="217"/>
      <c r="G113" s="57"/>
      <c r="AC113" s="263"/>
      <c r="AD113" s="338"/>
    </row>
    <row r="114" spans="1:30" s="53" customFormat="1" ht="12">
      <c r="A114" s="45"/>
      <c r="B114" s="45"/>
      <c r="C114" s="224" t="s">
        <v>384</v>
      </c>
      <c r="D114" s="253">
        <f>'Price Assumptions'!B3</f>
        <v>12.5</v>
      </c>
      <c r="E114" s="217"/>
      <c r="G114" s="57"/>
      <c r="AC114" s="263"/>
      <c r="AD114" s="338"/>
    </row>
    <row r="115" spans="1:30" s="53" customFormat="1" ht="12">
      <c r="A115" s="45"/>
      <c r="B115" s="45"/>
      <c r="C115" s="70" t="s">
        <v>562</v>
      </c>
      <c r="D115" s="209"/>
      <c r="E115" s="217"/>
      <c r="F115" s="288">
        <f>($D$113/3600)*$D$114*F30</f>
        <v>0</v>
      </c>
      <c r="G115" s="288">
        <f t="shared" ref="G115:AC115" si="31">($D$113/3600)*$D$114*G30</f>
        <v>0</v>
      </c>
      <c r="H115" s="288">
        <f t="shared" si="31"/>
        <v>61823.720132761875</v>
      </c>
      <c r="I115" s="288">
        <f t="shared" si="31"/>
        <v>62390.935906036168</v>
      </c>
      <c r="J115" s="288">
        <f t="shared" si="31"/>
        <v>62958.15167931046</v>
      </c>
      <c r="K115" s="288">
        <f t="shared" si="31"/>
        <v>63525.367452584782</v>
      </c>
      <c r="L115" s="288">
        <f t="shared" si="31"/>
        <v>64092.583225859074</v>
      </c>
      <c r="M115" s="288">
        <f t="shared" si="31"/>
        <v>64659.798999133367</v>
      </c>
      <c r="N115" s="288">
        <f t="shared" si="31"/>
        <v>64492.973077580304</v>
      </c>
      <c r="O115" s="288">
        <f t="shared" si="31"/>
        <v>64326.147156027211</v>
      </c>
      <c r="P115" s="288">
        <f t="shared" si="31"/>
        <v>64159.321234474141</v>
      </c>
      <c r="Q115" s="288">
        <f t="shared" si="31"/>
        <v>63992.495312921077</v>
      </c>
      <c r="R115" s="288">
        <f t="shared" si="31"/>
        <v>63825.66939136797</v>
      </c>
      <c r="S115" s="288">
        <f t="shared" si="31"/>
        <v>63658.843469814885</v>
      </c>
      <c r="T115" s="288">
        <f t="shared" si="31"/>
        <v>63492.017548261814</v>
      </c>
      <c r="U115" s="288">
        <f t="shared" si="31"/>
        <v>63325.191626708707</v>
      </c>
      <c r="V115" s="288">
        <f t="shared" si="31"/>
        <v>63158.365705155622</v>
      </c>
      <c r="W115" s="288">
        <f t="shared" si="31"/>
        <v>62991.539783602544</v>
      </c>
      <c r="X115" s="288">
        <f t="shared" si="31"/>
        <v>61204.107367677512</v>
      </c>
      <c r="Y115" s="288">
        <f t="shared" si="31"/>
        <v>61041.613511684329</v>
      </c>
      <c r="Z115" s="288">
        <f t="shared" si="31"/>
        <v>60879.119655691153</v>
      </c>
      <c r="AA115" s="288">
        <f t="shared" si="31"/>
        <v>60716.625799697962</v>
      </c>
      <c r="AB115" s="288">
        <f t="shared" si="31"/>
        <v>60554.131943704779</v>
      </c>
      <c r="AC115" s="387">
        <f t="shared" si="31"/>
        <v>60391.638087711588</v>
      </c>
      <c r="AD115" s="356">
        <f t="shared" si="29"/>
        <v>1381660.3580677675</v>
      </c>
    </row>
    <row r="116" spans="1:30" s="53" customFormat="1" ht="12">
      <c r="A116" s="45"/>
      <c r="B116" s="55" t="s">
        <v>388</v>
      </c>
      <c r="C116" s="225" t="s">
        <v>515</v>
      </c>
      <c r="D116" s="209">
        <v>2</v>
      </c>
      <c r="E116" s="217"/>
      <c r="G116" s="57"/>
      <c r="AC116" s="263"/>
      <c r="AD116" s="338"/>
    </row>
    <row r="117" spans="1:30" s="53" customFormat="1" ht="12">
      <c r="A117" s="45"/>
      <c r="B117" s="45"/>
      <c r="C117" s="224" t="s">
        <v>384</v>
      </c>
      <c r="D117" s="253">
        <f>D114</f>
        <v>12.5</v>
      </c>
      <c r="E117" s="217"/>
      <c r="F117" s="45"/>
      <c r="G117" s="57"/>
      <c r="AC117" s="263"/>
      <c r="AD117" s="338"/>
    </row>
    <row r="118" spans="1:30" s="53" customFormat="1" ht="12">
      <c r="A118" s="45"/>
      <c r="B118" s="45"/>
      <c r="C118" s="224" t="s">
        <v>521</v>
      </c>
      <c r="D118" s="322">
        <f>'Mode Operating Assumptions'!C45</f>
        <v>8.4250000000000002E-3</v>
      </c>
      <c r="E118" s="217"/>
      <c r="F118" s="45"/>
      <c r="G118" s="57"/>
      <c r="AC118" s="263"/>
      <c r="AD118" s="338"/>
    </row>
    <row r="119" spans="1:30" s="53" customFormat="1" ht="12">
      <c r="A119" s="45"/>
      <c r="B119" s="45"/>
      <c r="C119" s="70" t="s">
        <v>516</v>
      </c>
      <c r="D119" s="209"/>
      <c r="E119" s="217"/>
      <c r="F119" s="255">
        <f>-(($D$116/3600*$D$117)+$D$118)*F28</f>
        <v>0</v>
      </c>
      <c r="G119" s="255">
        <f>-(($D$116/3600*$D$117)+$D$118)*G28</f>
        <v>-84755.330887761345</v>
      </c>
      <c r="H119" s="255">
        <f>-(($D$116/3600*$D$117)+$D$118)*H28</f>
        <v>0</v>
      </c>
      <c r="I119" s="255">
        <f>-(($D$116/3600*$D$117)+$D$118)*I28</f>
        <v>0</v>
      </c>
      <c r="J119" s="45">
        <f>-(($D$116/3600*$D$117)+$D$118)*J28</f>
        <v>0</v>
      </c>
      <c r="AC119" s="263"/>
      <c r="AD119" s="346">
        <f t="shared" si="29"/>
        <v>-84755.330887761345</v>
      </c>
    </row>
    <row r="120" spans="1:30" s="53" customFormat="1" ht="12">
      <c r="A120" s="45"/>
      <c r="B120" s="45"/>
      <c r="C120" s="5"/>
      <c r="D120" s="209"/>
      <c r="E120" s="217"/>
      <c r="F120" s="45"/>
      <c r="G120" s="57"/>
      <c r="AC120" s="263"/>
      <c r="AD120" s="338"/>
    </row>
    <row r="121" spans="1:30" s="53" customFormat="1" ht="12">
      <c r="A121" s="45"/>
      <c r="B121" s="45"/>
      <c r="C121" s="5" t="s">
        <v>517</v>
      </c>
      <c r="D121" s="209"/>
      <c r="E121" s="217"/>
      <c r="F121" s="289">
        <f>F112+F115+F119</f>
        <v>0</v>
      </c>
      <c r="G121" s="289">
        <f t="shared" ref="G121:AC121" si="32">G112+G115+G119</f>
        <v>-83738.091437654599</v>
      </c>
      <c r="H121" s="289">
        <f t="shared" si="32"/>
        <v>62850.378897067669</v>
      </c>
      <c r="I121" s="289">
        <f t="shared" si="32"/>
        <v>63427.013984541009</v>
      </c>
      <c r="J121" s="289">
        <f t="shared" si="32"/>
        <v>64003.649072014348</v>
      </c>
      <c r="K121" s="289">
        <f t="shared" si="32"/>
        <v>64580.284159487717</v>
      </c>
      <c r="L121" s="289">
        <f t="shared" si="32"/>
        <v>65156.919246961064</v>
      </c>
      <c r="M121" s="289">
        <f t="shared" si="32"/>
        <v>65733.554334434404</v>
      </c>
      <c r="N121" s="289">
        <f t="shared" si="32"/>
        <v>65563.958063667349</v>
      </c>
      <c r="O121" s="289">
        <f t="shared" si="32"/>
        <v>65394.361792900265</v>
      </c>
      <c r="P121" s="289">
        <f t="shared" si="32"/>
        <v>65224.765522133202</v>
      </c>
      <c r="Q121" s="289">
        <f t="shared" si="32"/>
        <v>65055.169251366147</v>
      </c>
      <c r="R121" s="289">
        <f t="shared" si="32"/>
        <v>64885.572980599049</v>
      </c>
      <c r="S121" s="289">
        <f t="shared" si="32"/>
        <v>64715.976709831972</v>
      </c>
      <c r="T121" s="289">
        <f t="shared" si="32"/>
        <v>64546.380439064902</v>
      </c>
      <c r="U121" s="289">
        <f t="shared" si="32"/>
        <v>64376.784168297803</v>
      </c>
      <c r="V121" s="289">
        <f t="shared" si="32"/>
        <v>64207.187897530726</v>
      </c>
      <c r="W121" s="289">
        <f t="shared" si="32"/>
        <v>64037.591626763657</v>
      </c>
      <c r="X121" s="289">
        <f t="shared" si="32"/>
        <v>62220.476701415493</v>
      </c>
      <c r="Y121" s="289">
        <f t="shared" si="32"/>
        <v>62055.284435474758</v>
      </c>
      <c r="Z121" s="289">
        <f t="shared" si="32"/>
        <v>61890.092169534022</v>
      </c>
      <c r="AA121" s="289">
        <f t="shared" si="32"/>
        <v>61724.899903593272</v>
      </c>
      <c r="AB121" s="289">
        <f t="shared" si="32"/>
        <v>61559.707637652537</v>
      </c>
      <c r="AC121" s="318">
        <f t="shared" si="32"/>
        <v>61394.515371711786</v>
      </c>
      <c r="AD121" s="347">
        <f t="shared" si="29"/>
        <v>1320866.4329283885</v>
      </c>
    </row>
    <row r="122" spans="1:30" s="53" customFormat="1" ht="12">
      <c r="A122" s="45"/>
      <c r="B122" s="45"/>
      <c r="C122" s="5"/>
      <c r="D122" s="209"/>
      <c r="E122" s="217"/>
      <c r="F122" s="45"/>
      <c r="G122" s="57"/>
      <c r="AC122" s="263"/>
      <c r="AD122" s="338"/>
    </row>
    <row r="123" spans="1:30" s="53" customFormat="1" ht="12">
      <c r="A123" s="45"/>
      <c r="B123" s="55" t="s">
        <v>501</v>
      </c>
      <c r="C123" s="5"/>
      <c r="D123" s="209"/>
      <c r="E123" s="217"/>
      <c r="F123" s="233">
        <f>F24</f>
        <v>0</v>
      </c>
      <c r="G123" s="233">
        <f t="shared" ref="G123:AC123" si="33">G24</f>
        <v>3319.6459544951786</v>
      </c>
      <c r="H123" s="233">
        <f t="shared" si="33"/>
        <v>3274.8771281748836</v>
      </c>
      <c r="I123" s="233">
        <f t="shared" si="33"/>
        <v>3232.0817384397419</v>
      </c>
      <c r="J123" s="233">
        <f t="shared" si="33"/>
        <v>3191.1321138133717</v>
      </c>
      <c r="K123" s="233">
        <f t="shared" si="33"/>
        <v>3151.9113632800163</v>
      </c>
      <c r="L123" s="233">
        <f t="shared" si="33"/>
        <v>3114.3122619429546</v>
      </c>
      <c r="M123" s="233">
        <f t="shared" si="33"/>
        <v>3078.2362721063619</v>
      </c>
      <c r="N123" s="233">
        <f t="shared" si="33"/>
        <v>3009.3411681838943</v>
      </c>
      <c r="O123" s="233">
        <f t="shared" si="33"/>
        <v>2999.9673492897055</v>
      </c>
      <c r="P123" s="233">
        <f t="shared" si="33"/>
        <v>2990.6034528951059</v>
      </c>
      <c r="Q123" s="233">
        <f t="shared" si="33"/>
        <v>2981.2494632534845</v>
      </c>
      <c r="R123" s="233">
        <f t="shared" si="33"/>
        <v>2971.9053646515308</v>
      </c>
      <c r="S123" s="233">
        <f t="shared" si="33"/>
        <v>2962.5711414091511</v>
      </c>
      <c r="T123" s="233">
        <f t="shared" si="33"/>
        <v>2953.2467778793739</v>
      </c>
      <c r="U123" s="233">
        <f t="shared" si="33"/>
        <v>2943.9322584482679</v>
      </c>
      <c r="V123" s="233">
        <f t="shared" si="33"/>
        <v>2934.6275675348534</v>
      </c>
      <c r="W123" s="233">
        <f t="shared" si="33"/>
        <v>2925.3326895910127</v>
      </c>
      <c r="X123" s="233">
        <f t="shared" si="33"/>
        <v>2840.8261651393336</v>
      </c>
      <c r="Y123" s="233">
        <f t="shared" si="33"/>
        <v>2831.7914596419027</v>
      </c>
      <c r="Z123" s="233">
        <f t="shared" si="33"/>
        <v>2822.7662673311079</v>
      </c>
      <c r="AA123" s="233">
        <f t="shared" si="33"/>
        <v>2813.7505731893407</v>
      </c>
      <c r="AB123" s="233">
        <f t="shared" si="33"/>
        <v>2804.7443622305914</v>
      </c>
      <c r="AC123" s="389">
        <f t="shared" si="33"/>
        <v>2795.7476195003533</v>
      </c>
      <c r="AD123" s="348">
        <f t="shared" si="29"/>
        <v>68944.600512421515</v>
      </c>
    </row>
    <row r="124" spans="1:30" s="5" customFormat="1" ht="12">
      <c r="A124" s="58"/>
      <c r="B124" s="58"/>
      <c r="C124" s="5" t="s">
        <v>590</v>
      </c>
      <c r="D124" s="212"/>
      <c r="E124" s="220"/>
      <c r="F124" s="83">
        <f>F123</f>
        <v>0</v>
      </c>
      <c r="G124" s="83">
        <f t="shared" ref="G124:AC124" si="34">G123</f>
        <v>3319.6459544951786</v>
      </c>
      <c r="H124" s="83">
        <f t="shared" si="34"/>
        <v>3274.8771281748836</v>
      </c>
      <c r="I124" s="83">
        <f>I123</f>
        <v>3232.0817384397419</v>
      </c>
      <c r="J124" s="83">
        <f t="shared" si="34"/>
        <v>3191.1321138133717</v>
      </c>
      <c r="K124" s="83">
        <f t="shared" si="34"/>
        <v>3151.9113632800163</v>
      </c>
      <c r="L124" s="83">
        <f t="shared" si="34"/>
        <v>3114.3122619429546</v>
      </c>
      <c r="M124" s="83">
        <f t="shared" si="34"/>
        <v>3078.2362721063619</v>
      </c>
      <c r="N124" s="83">
        <f t="shared" si="34"/>
        <v>3009.3411681838943</v>
      </c>
      <c r="O124" s="83">
        <f t="shared" si="34"/>
        <v>2999.9673492897055</v>
      </c>
      <c r="P124" s="83">
        <f t="shared" si="34"/>
        <v>2990.6034528951059</v>
      </c>
      <c r="Q124" s="83">
        <f t="shared" si="34"/>
        <v>2981.2494632534845</v>
      </c>
      <c r="R124" s="83">
        <f t="shared" si="34"/>
        <v>2971.9053646515308</v>
      </c>
      <c r="S124" s="83">
        <f t="shared" si="34"/>
        <v>2962.5711414091511</v>
      </c>
      <c r="T124" s="83">
        <f t="shared" si="34"/>
        <v>2953.2467778793739</v>
      </c>
      <c r="U124" s="83">
        <f t="shared" si="34"/>
        <v>2943.9322584482679</v>
      </c>
      <c r="V124" s="83">
        <f t="shared" si="34"/>
        <v>2934.6275675348534</v>
      </c>
      <c r="W124" s="83">
        <f t="shared" si="34"/>
        <v>2925.3326895910127</v>
      </c>
      <c r="X124" s="83">
        <f t="shared" si="34"/>
        <v>2840.8261651393336</v>
      </c>
      <c r="Y124" s="83">
        <f t="shared" si="34"/>
        <v>2831.7914596419027</v>
      </c>
      <c r="Z124" s="83">
        <f t="shared" si="34"/>
        <v>2822.7662673311079</v>
      </c>
      <c r="AA124" s="83">
        <f t="shared" si="34"/>
        <v>2813.7505731893407</v>
      </c>
      <c r="AB124" s="83">
        <f t="shared" si="34"/>
        <v>2804.7443622305914</v>
      </c>
      <c r="AC124" s="272">
        <f t="shared" si="34"/>
        <v>2795.7476195003533</v>
      </c>
      <c r="AD124" s="355">
        <f t="shared" si="29"/>
        <v>68944.600512421515</v>
      </c>
    </row>
    <row r="125" spans="1:30" s="110" customFormat="1" ht="12">
      <c r="A125" s="107"/>
      <c r="B125" s="107"/>
      <c r="C125" s="108"/>
      <c r="D125" s="208"/>
      <c r="E125" s="216"/>
      <c r="F125" s="109"/>
      <c r="G125" s="109"/>
      <c r="H125" s="109"/>
      <c r="I125" s="109"/>
      <c r="J125" s="109"/>
      <c r="K125" s="109"/>
      <c r="L125" s="109"/>
      <c r="M125" s="109"/>
      <c r="N125" s="109"/>
      <c r="O125" s="109"/>
      <c r="P125" s="109"/>
      <c r="Q125" s="109"/>
      <c r="R125" s="109"/>
      <c r="S125" s="109"/>
      <c r="T125" s="109"/>
      <c r="U125" s="109"/>
      <c r="V125" s="109"/>
      <c r="W125" s="109"/>
      <c r="X125" s="109"/>
      <c r="Y125" s="109"/>
      <c r="Z125" s="109"/>
      <c r="AC125" s="262"/>
      <c r="AD125" s="337"/>
    </row>
    <row r="126" spans="1:30" s="53" customFormat="1" ht="12">
      <c r="A126" s="58" t="s">
        <v>344</v>
      </c>
      <c r="B126" s="58"/>
      <c r="D126" s="209"/>
      <c r="E126" s="217"/>
      <c r="F126" s="45"/>
      <c r="G126" s="57"/>
      <c r="AC126" s="263"/>
      <c r="AD126" s="338"/>
    </row>
    <row r="127" spans="1:30" s="53" customFormat="1" ht="12">
      <c r="A127" s="55"/>
      <c r="B127" s="55"/>
      <c r="D127" s="209"/>
      <c r="E127" s="217"/>
      <c r="F127" s="45"/>
      <c r="G127" s="57"/>
      <c r="AC127" s="263"/>
      <c r="AD127" s="338"/>
    </row>
    <row r="128" spans="1:30" s="53" customFormat="1" ht="12">
      <c r="A128" s="45"/>
      <c r="B128" s="45"/>
      <c r="C128" s="46" t="s">
        <v>88</v>
      </c>
      <c r="D128" s="209"/>
      <c r="E128" s="217"/>
      <c r="F128" s="45"/>
      <c r="G128" s="57"/>
      <c r="L128" s="61"/>
      <c r="AC128" s="263"/>
      <c r="AD128" s="338"/>
    </row>
    <row r="129" spans="1:30" s="53" customFormat="1" ht="12">
      <c r="A129" s="45"/>
      <c r="B129" s="45"/>
      <c r="C129" s="78" t="s">
        <v>42</v>
      </c>
      <c r="D129" s="209"/>
      <c r="E129" s="217"/>
      <c r="F129" s="45"/>
      <c r="G129" s="57"/>
      <c r="L129" s="61"/>
      <c r="AC129" s="263"/>
      <c r="AD129" s="338"/>
    </row>
    <row r="130" spans="1:30" s="53" customFormat="1" ht="12">
      <c r="A130" s="45"/>
      <c r="B130" s="45"/>
      <c r="C130" s="48" t="s">
        <v>97</v>
      </c>
      <c r="D130" s="209"/>
      <c r="E130" s="219"/>
      <c r="F130" s="71">
        <f>((('Emissions Assumptions'!D9/907185)+('Emissions Assumptions'!D11/907185))*'Forest Glen'!F36)+(('Emissions Assumptions'!D10/907185)*'Forest Glen'!F37)</f>
        <v>0</v>
      </c>
      <c r="G130" s="71">
        <f>((('Emissions Assumptions'!E9/907185)+('Emissions Assumptions'!E11/907185))*'Forest Glen'!G36)+(('Emissions Assumptions'!E10/907185)*'Forest Glen'!G37)</f>
        <v>0</v>
      </c>
      <c r="H130" s="71">
        <f>((('Emissions Assumptions'!F9/907185)+('Emissions Assumptions'!F11/907185))*'Forest Glen'!H36)+(('Emissions Assumptions'!F10/907185)*'Forest Glen'!H37)</f>
        <v>0</v>
      </c>
      <c r="I130" s="71">
        <f>((('Emissions Assumptions'!G9/907185)+('Emissions Assumptions'!G11/907185))*'Forest Glen'!I36)+(('Emissions Assumptions'!G10/907185)*'Forest Glen'!I37)</f>
        <v>0</v>
      </c>
      <c r="J130" s="71">
        <f>((('Emissions Assumptions'!H9/907185)+('Emissions Assumptions'!H11/907185))*'Forest Glen'!J36)+(('Emissions Assumptions'!H10/907185)*'Forest Glen'!J37)</f>
        <v>-7.0983206929136497E-2</v>
      </c>
      <c r="K130" s="71">
        <f>((('Emissions Assumptions'!I9/907185)+('Emissions Assumptions'!I11/907185))*'Forest Glen'!K36)+(('Emissions Assumptions'!I10/907185)*'Forest Glen'!K37)</f>
        <v>-9.1579974940534742E-2</v>
      </c>
      <c r="L130" s="71">
        <f>((('Emissions Assumptions'!J9/907185)+('Emissions Assumptions'!J11/907185))*'Forest Glen'!L36)+(('Emissions Assumptions'!J10/907185)*'Forest Glen'!L37)</f>
        <v>-8.7444191355362064E-2</v>
      </c>
      <c r="M130" s="71">
        <f>((('Emissions Assumptions'!K9/907185)+('Emissions Assumptions'!K11/907185))*'Forest Glen'!M36)+(('Emissions Assumptions'!K10/907185)*'Forest Glen'!M37)</f>
        <v>-5.556757548868678E-2</v>
      </c>
      <c r="N130" s="71">
        <f>((('Emissions Assumptions'!L9/907185)+('Emissions Assumptions'!L11/907185))*'Forest Glen'!N36)+(('Emissions Assumptions'!L10/907185)*'Forest Glen'!N37)</f>
        <v>-7.7808098296089007E-2</v>
      </c>
      <c r="O130" s="71">
        <f>((('Emissions Assumptions'!M9/907185)+('Emissions Assumptions'!M11/907185))*'Forest Glen'!O36)+(('Emissions Assumptions'!M10/907185)*'Forest Glen'!O37)</f>
        <v>-7.2423637518812423E-2</v>
      </c>
      <c r="P130" s="71">
        <f>((('Emissions Assumptions'!N9/907185)+('Emissions Assumptions'!N11/907185))*'Forest Glen'!P36)+(('Emissions Assumptions'!N10/907185)*'Forest Glen'!P37)</f>
        <v>-7.2047211969132538E-2</v>
      </c>
      <c r="Q130" s="71">
        <f>((('Emissions Assumptions'!O9/907185)+('Emissions Assumptions'!O11/907185))*'Forest Glen'!Q36)+(('Emissions Assumptions'!O10/907185)*'Forest Glen'!Q37)</f>
        <v>-7.1663381983438107E-2</v>
      </c>
      <c r="R130" s="71">
        <f>((('Emissions Assumptions'!P9/907185)+('Emissions Assumptions'!P11/907185))*'Forest Glen'!R36)+(('Emissions Assumptions'!P10/907185)*'Forest Glen'!R37)</f>
        <v>-7.1272018936838294E-2</v>
      </c>
      <c r="S130" s="71">
        <f>((('Emissions Assumptions'!Q9/907185)+('Emissions Assumptions'!Q11/907185))*'Forest Glen'!S36)+(('Emissions Assumptions'!Q10/907185)*'Forest Glen'!S37)</f>
        <v>-7.0872992329706633E-2</v>
      </c>
      <c r="T130" s="71">
        <f>((('Emissions Assumptions'!R9/907185)+('Emissions Assumptions'!R11/907185))*'Forest Glen'!T36)+(('Emissions Assumptions'!R10/907185)*'Forest Glen'!T37)</f>
        <v>-7.0466169763048814E-2</v>
      </c>
      <c r="U130" s="71">
        <f>((('Emissions Assumptions'!S9/907185)+('Emissions Assumptions'!S11/907185))*'Forest Glen'!U36)+(('Emissions Assumptions'!S10/907185)*'Forest Glen'!U37)</f>
        <v>-7.0051416913565423E-2</v>
      </c>
      <c r="V130" s="71">
        <f>((('Emissions Assumptions'!T9/907185)+('Emissions Assumptions'!T11/907185))*'Forest Glen'!V36)+(('Emissions Assumptions'!T10/907185)*'Forest Glen'!V37)</f>
        <v>-6.9628597508405499E-2</v>
      </c>
      <c r="W130" s="71">
        <f>((('Emissions Assumptions'!U9/907185)+('Emissions Assumptions'!U11/907185))*'Forest Glen'!W36)+(('Emissions Assumptions'!U10/907185)*'Forest Glen'!W37)</f>
        <v>-6.919757329960799E-2</v>
      </c>
      <c r="X130" s="71">
        <f>((('Emissions Assumptions'!V9/907185)+('Emissions Assumptions'!V11/907185))*'Forest Glen'!X36)+(('Emissions Assumptions'!V10/907185)*'Forest Glen'!X37)</f>
        <v>-6.8923660228834227E-2</v>
      </c>
      <c r="Y130" s="71">
        <f>((('Emissions Assumptions'!W9/907185)+('Emissions Assumptions'!W11/907185))*'Forest Glen'!Y36)+(('Emissions Assumptions'!W10/907185)*'Forest Glen'!Y37)</f>
        <v>-6.8473773949221495E-2</v>
      </c>
      <c r="Z130" s="71">
        <f>((('Emissions Assumptions'!X9/907185)+('Emissions Assumptions'!X11/907185))*'Forest Glen'!Z36)+(('Emissions Assumptions'!X10/907185)*'Forest Glen'!Z37)</f>
        <v>-6.8955077505620341E-2</v>
      </c>
      <c r="AA130" s="71">
        <f>((('Emissions Assumptions'!Y9/907185)+('Emissions Assumptions'!Y11/907185))*'Forest Glen'!AA36)+(('Emissions Assumptions'!Y10/907185)*'Forest Glen'!AA37)</f>
        <v>-6.9441030915227547E-2</v>
      </c>
      <c r="AB130" s="71">
        <f>((('Emissions Assumptions'!Z9/907185)+('Emissions Assumptions'!Z11/907185))*'Forest Glen'!AB36)+(('Emissions Assumptions'!Z10/907185)*'Forest Glen'!AB37)</f>
        <v>-6.993168067657525E-2</v>
      </c>
      <c r="AC130" s="388">
        <f>((('Emissions Assumptions'!AA9/907185)+('Emissions Assumptions'!AA11/907185))*'Forest Glen'!AC36)+(('Emissions Assumptions'!AA10/907185)*'Forest Glen'!AC37)</f>
        <v>-7.0427073753180858E-2</v>
      </c>
      <c r="AD130" s="357">
        <f t="shared" si="29"/>
        <v>-1.4371583442610247</v>
      </c>
    </row>
    <row r="131" spans="1:30" s="53" customFormat="1" ht="12">
      <c r="A131" s="45"/>
      <c r="B131" s="45"/>
      <c r="C131" s="48" t="s">
        <v>98</v>
      </c>
      <c r="D131" s="209"/>
      <c r="E131" s="219"/>
      <c r="F131" s="71">
        <f>(('Emissions Assumptions'!D4/907185)*F22)+(('Emissions Assumptions'!D5/907185)*F23)</f>
        <v>0</v>
      </c>
      <c r="G131" s="71">
        <f>(('Emissions Assumptions'!E4/907185)*G22)+(('Emissions Assumptions'!E5/907185)*G23)</f>
        <v>-8.6328417231163728E-3</v>
      </c>
      <c r="H131" s="71">
        <f>(('Emissions Assumptions'!F4/907185)*H22)+(('Emissions Assumptions'!F5/907185)*H23)</f>
        <v>-8.1389505569276089E-3</v>
      </c>
      <c r="I131" s="71">
        <f>(('Emissions Assumptions'!G4/907185)*I22)+(('Emissions Assumptions'!G5/907185)*I23)</f>
        <v>-7.6345299500168908E-3</v>
      </c>
      <c r="J131" s="71">
        <f>(('Emissions Assumptions'!H4/907185)*J22)+(('Emissions Assumptions'!H5/907185)*J23)</f>
        <v>-7.119579902384222E-3</v>
      </c>
      <c r="K131" s="71">
        <f>(('Emissions Assumptions'!I4/907185)*K22)+(('Emissions Assumptions'!I5/907185)*K23)</f>
        <v>-6.5941004140296052E-3</v>
      </c>
      <c r="L131" s="71">
        <f>(('Emissions Assumptions'!J4/907185)*L22)+(('Emissions Assumptions'!J5/907185)*L23)</f>
        <v>-6.0580914849530342E-3</v>
      </c>
      <c r="M131" s="71">
        <f>(('Emissions Assumptions'!K4/907185)*M22)+(('Emissions Assumptions'!K5/907185)*M23)</f>
        <v>-5.5115531151545124E-3</v>
      </c>
      <c r="N131" s="71">
        <f>(('Emissions Assumptions'!L4/907185)*N22)+(('Emissions Assumptions'!L5/907185)*N23)</f>
        <v>-4.8987292838702434E-3</v>
      </c>
      <c r="O131" s="71">
        <f>(('Emissions Assumptions'!M4/907185)*O22)+(('Emissions Assumptions'!M5/907185)*O23)</f>
        <v>-4.2890023052029888E-3</v>
      </c>
      <c r="P131" s="71">
        <f>(('Emissions Assumptions'!N4/907185)*P22)+(('Emissions Assumptions'!N5/907185)*P23)</f>
        <v>-4.1997328809456223E-3</v>
      </c>
      <c r="Q131" s="71">
        <f>(('Emissions Assumptions'!O4/907185)*Q22)+(('Emissions Assumptions'!O5/907185)*Q23)</f>
        <v>-4.1108698451859157E-3</v>
      </c>
      <c r="R131" s="71">
        <f>(('Emissions Assumptions'!P4/907185)*R22)+(('Emissions Assumptions'!P5/907185)*R23)</f>
        <v>-4.0224131979238629E-3</v>
      </c>
      <c r="S131" s="71">
        <f>(('Emissions Assumptions'!Q4/907185)*S22)+(('Emissions Assumptions'!Q5/907185)*S23)</f>
        <v>-3.9343629391594684E-3</v>
      </c>
      <c r="T131" s="71">
        <f>(('Emissions Assumptions'!R4/907185)*T22)+(('Emissions Assumptions'!R5/907185)*T23)</f>
        <v>-3.8467190688927285E-3</v>
      </c>
      <c r="U131" s="71">
        <f>(('Emissions Assumptions'!S4/907185)*U22)+(('Emissions Assumptions'!S5/907185)*U23)</f>
        <v>-3.7594815871236464E-3</v>
      </c>
      <c r="V131" s="71">
        <f>(('Emissions Assumptions'!T4/907185)*V22)+(('Emissions Assumptions'!T5/907185)*V23)</f>
        <v>-3.6726504938522204E-3</v>
      </c>
      <c r="W131" s="71">
        <f>(('Emissions Assumptions'!U4/907185)*W22)+(('Emissions Assumptions'!U5/907185)*W23)</f>
        <v>-3.5862257890784516E-3</v>
      </c>
      <c r="X131" s="71">
        <f>(('Emissions Assumptions'!V4/907185)*X22)+(('Emissions Assumptions'!V5/907185)*X23)</f>
        <v>-3.4099172253285784E-3</v>
      </c>
      <c r="Y131" s="71">
        <f>(('Emissions Assumptions'!W4/907185)*Y22)+(('Emissions Assumptions'!W5/907185)*Y23)</f>
        <v>-3.3265152785872183E-3</v>
      </c>
      <c r="Z131" s="71">
        <f>(('Emissions Assumptions'!X4/907185)*Z22)+(('Emissions Assumptions'!X5/907185)*Z23)</f>
        <v>-3.3176600360151263E-3</v>
      </c>
      <c r="AA131" s="71">
        <f>(('Emissions Assumptions'!Y4/907185)*AA22)+(('Emissions Assumptions'!Y5/907185)*AA23)</f>
        <v>-3.3088047934430329E-3</v>
      </c>
      <c r="AB131" s="71">
        <f>(('Emissions Assumptions'!Z4/907185)*AB22)+(('Emissions Assumptions'!Z5/907185)*AB23)</f>
        <v>-3.2999495508709417E-3</v>
      </c>
      <c r="AC131" s="388">
        <f>(('Emissions Assumptions'!AA4/907185)*AC22)+(('Emissions Assumptions'!AA5/907185)*AC23)</f>
        <v>-3.2910943082988479E-3</v>
      </c>
      <c r="AD131" s="357">
        <f t="shared" si="29"/>
        <v>-0.10996377573036115</v>
      </c>
    </row>
    <row r="132" spans="1:30" s="53" customFormat="1" ht="12">
      <c r="A132" s="45"/>
      <c r="B132" s="45"/>
      <c r="C132" s="48" t="s">
        <v>99</v>
      </c>
      <c r="D132" s="209"/>
      <c r="E132" s="219"/>
      <c r="F132" s="71">
        <f>(('Emissions Assumptions'!D14/907185)*F22)+(('Emissions Assumptions'!D18/907185)*F23)+(('Emissions Assumptions'!D19/907185)*F22)</f>
        <v>0</v>
      </c>
      <c r="G132" s="71">
        <f>(('Emissions Assumptions'!E14/907185)*G22)+(('Emissions Assumptions'!E18/907185)*G23)+(('Emissions Assumptions'!E19/907185)*G22)</f>
        <v>-1.2341005520661915E-2</v>
      </c>
      <c r="H132" s="71">
        <f>(('Emissions Assumptions'!F14/907185)*H22)+(('Emissions Assumptions'!F18/907185)*H23)+(('Emissions Assumptions'!F19/907185)*H22)</f>
        <v>-1.1621901975275498E-2</v>
      </c>
      <c r="I132" s="71">
        <f>(('Emissions Assumptions'!G14/907185)*I22)+(('Emissions Assumptions'!G18/907185)*I23)+(('Emissions Assumptions'!G19/907185)*I22)</f>
        <v>-1.0887506410276179E-2</v>
      </c>
      <c r="J132" s="71">
        <f>(('Emissions Assumptions'!H14/907185)*J22)+(('Emissions Assumptions'!H18/907185)*J23)+(('Emissions Assumptions'!H19/907185)*J22)</f>
        <v>-1.0137818825663954E-2</v>
      </c>
      <c r="K132" s="71">
        <f>(('Emissions Assumptions'!I14/907185)*K22)+(('Emissions Assumptions'!I18/907185)*K23)+(('Emissions Assumptions'!I19/907185)*K22)</f>
        <v>-9.3728392214388334E-3</v>
      </c>
      <c r="L132" s="71">
        <f>(('Emissions Assumptions'!J14/907185)*L22)+(('Emissions Assumptions'!J18/907185)*L23)+(('Emissions Assumptions'!J19/907185)*L22)</f>
        <v>-8.5925675976008045E-3</v>
      </c>
      <c r="M132" s="71">
        <f>(('Emissions Assumptions'!K14/907185)*M22)+(('Emissions Assumptions'!K18/907185)*M23)+(('Emissions Assumptions'!K19/907185)*M22)</f>
        <v>-7.797003954149874E-3</v>
      </c>
      <c r="N132" s="71">
        <f>(('Emissions Assumptions'!L14/907185)*N22)+(('Emissions Assumptions'!L18/907185)*N23)+(('Emissions Assumptions'!L19/907185)*N22)</f>
        <v>-6.9075286554979749E-3</v>
      </c>
      <c r="O132" s="71">
        <f>(('Emissions Assumptions'!M14/907185)*O22)+(('Emissions Assumptions'!M18/907185)*O23)+(('Emissions Assumptions'!M19/907185)*O22)</f>
        <v>-6.0225509490932066E-3</v>
      </c>
      <c r="P132" s="71">
        <f>(('Emissions Assumptions'!N14/907185)*P22)+(('Emissions Assumptions'!N18/907185)*P23)+(('Emissions Assumptions'!N19/907185)*P22)</f>
        <v>-5.8459718233986845E-3</v>
      </c>
      <c r="Q132" s="71">
        <f>(('Emissions Assumptions'!O14/907185)*Q22)+(('Emissions Assumptions'!O18/907185)*Q23)+(('Emissions Assumptions'!O19/907185)*Q22)</f>
        <v>-5.6702297483862338E-3</v>
      </c>
      <c r="R132" s="71">
        <f>(('Emissions Assumptions'!P14/907185)*R22)+(('Emissions Assumptions'!P18/907185)*R23)+(('Emissions Assumptions'!P19/907185)*R22)</f>
        <v>-5.4953247240558511E-3</v>
      </c>
      <c r="S132" s="71">
        <f>(('Emissions Assumptions'!Q14/907185)*S22)+(('Emissions Assumptions'!Q18/907185)*S23)+(('Emissions Assumptions'!Q19/907185)*S22)</f>
        <v>-5.3212567504075416E-3</v>
      </c>
      <c r="T132" s="71">
        <f>(('Emissions Assumptions'!R14/907185)*T22)+(('Emissions Assumptions'!R18/907185)*T23)+(('Emissions Assumptions'!R19/907185)*T22)</f>
        <v>-5.1480258274413026E-3</v>
      </c>
      <c r="U132" s="71">
        <f>(('Emissions Assumptions'!S14/907185)*U22)+(('Emissions Assumptions'!S18/907185)*U23)+(('Emissions Assumptions'!S19/907185)*U22)</f>
        <v>-4.9756319551571351E-3</v>
      </c>
      <c r="V132" s="71">
        <f>(('Emissions Assumptions'!T14/907185)*V22)+(('Emissions Assumptions'!T18/907185)*V23)+(('Emissions Assumptions'!T19/907185)*V22)</f>
        <v>-4.8040751335550374E-3</v>
      </c>
      <c r="W132" s="71">
        <f>(('Emissions Assumptions'!U14/907185)*W22)+(('Emissions Assumptions'!U18/907185)*W23)+(('Emissions Assumptions'!U19/907185)*W22)</f>
        <v>-4.6333553626350136E-3</v>
      </c>
      <c r="X132" s="71">
        <f>(('Emissions Assumptions'!V14/907185)*X22)+(('Emissions Assumptions'!V18/907185)*X23)+(('Emissions Assumptions'!V19/907185)*X22)</f>
        <v>-4.3483343105679079E-3</v>
      </c>
      <c r="Y132" s="71">
        <f>(('Emissions Assumptions'!W14/907185)*Y22)+(('Emissions Assumptions'!W18/907185)*Y23)+(('Emissions Assumptions'!W19/907185)*Y22)</f>
        <v>-4.1836512551981647E-3</v>
      </c>
      <c r="Z132" s="71">
        <f>(('Emissions Assumptions'!X14/907185)*Z22)+(('Emissions Assumptions'!X18/907185)*Z23)+(('Emissions Assumptions'!X19/907185)*Z22)</f>
        <v>-4.1725143014795726E-3</v>
      </c>
      <c r="AA132" s="71">
        <f>(('Emissions Assumptions'!Y14/907185)*AA22)+(('Emissions Assumptions'!Y18/907185)*AA23)+(('Emissions Assumptions'!Y19/907185)*AA22)</f>
        <v>-4.161377347760978E-3</v>
      </c>
      <c r="AB132" s="71">
        <f>(('Emissions Assumptions'!Z14/907185)*AB22)+(('Emissions Assumptions'!Z18/907185)*AB23)+(('Emissions Assumptions'!Z19/907185)*AB22)</f>
        <v>-4.1502403940423867E-3</v>
      </c>
      <c r="AC132" s="388">
        <f>(('Emissions Assumptions'!AA14/907185)*AC22)+(('Emissions Assumptions'!AA18/907185)*AC23)+(('Emissions Assumptions'!AA19/907185)*AC22)</f>
        <v>-4.1391034403237921E-3</v>
      </c>
      <c r="AD132" s="357">
        <f t="shared" si="29"/>
        <v>-0.15072981548406783</v>
      </c>
    </row>
    <row r="133" spans="1:30" s="53" customFormat="1" ht="12">
      <c r="A133" s="45"/>
      <c r="B133" s="45"/>
      <c r="C133" s="48" t="s">
        <v>100</v>
      </c>
      <c r="D133" s="209"/>
      <c r="E133" s="219"/>
      <c r="F133" s="71">
        <f>('Emissions Assumptions'!D21/907185)*F23</f>
        <v>0</v>
      </c>
      <c r="G133" s="71">
        <f>('Emissions Assumptions'!E21/907185)*G23</f>
        <v>-9.1597603843519</v>
      </c>
      <c r="H133" s="71">
        <f>('Emissions Assumptions'!F21/907185)*H23</f>
        <v>-9.0288880035749628</v>
      </c>
      <c r="I133" s="71">
        <f>('Emissions Assumptions'!G21/907185)*I23</f>
        <v>-8.8940578499887959</v>
      </c>
      <c r="J133" s="71">
        <f>('Emissions Assumptions'!H21/907185)*J23</f>
        <v>-8.7552699235934011</v>
      </c>
      <c r="K133" s="71">
        <f>('Emissions Assumptions'!I21/907185)*K23</f>
        <v>-8.6125242243887872</v>
      </c>
      <c r="L133" s="71">
        <f>('Emissions Assumptions'!J21/907185)*L23</f>
        <v>-8.46582075237494</v>
      </c>
      <c r="M133" s="71">
        <f>('Emissions Assumptions'!K21/907185)*M23</f>
        <v>-8.3151595075518685</v>
      </c>
      <c r="N133" s="71">
        <f>('Emissions Assumptions'!L21/907185)*N23</f>
        <v>-8.068704660963899</v>
      </c>
      <c r="O133" s="71">
        <f>('Emissions Assumptions'!M21/907185)*O23</f>
        <v>-7.8234138495232308</v>
      </c>
      <c r="P133" s="71">
        <f>('Emissions Assumptions'!N21/907185)*P23</f>
        <v>-7.7036454417063807</v>
      </c>
      <c r="Q133" s="71">
        <f>('Emissions Assumptions'!O21/907185)*Q23</f>
        <v>-7.5843943602180799</v>
      </c>
      <c r="R133" s="71">
        <f>('Emissions Assumptions'!P21/907185)*R23</f>
        <v>-7.4656606050583223</v>
      </c>
      <c r="S133" s="71">
        <f>('Emissions Assumptions'!Q21/907185)*S23</f>
        <v>-7.3474441762271141</v>
      </c>
      <c r="T133" s="71">
        <f>('Emissions Assumptions'!R21/907185)*T23</f>
        <v>-7.22974507372445</v>
      </c>
      <c r="U133" s="71">
        <f>('Emissions Assumptions'!S21/907185)*U23</f>
        <v>-7.1125632975503335</v>
      </c>
      <c r="V133" s="71">
        <f>('Emissions Assumptions'!T21/907185)*V23</f>
        <v>-6.9958988477047637</v>
      </c>
      <c r="W133" s="71">
        <f>('Emissions Assumptions'!U21/907185)*W23</f>
        <v>-6.8797517241877406</v>
      </c>
      <c r="X133" s="71">
        <f>('Emissions Assumptions'!V21/907185)*X23</f>
        <v>-6.5896367721971423</v>
      </c>
      <c r="Y133" s="71">
        <f>('Emissions Assumptions'!W21/907185)*Y23</f>
        <v>-6.4774967493737785</v>
      </c>
      <c r="Z133" s="71">
        <f>('Emissions Assumptions'!X21/907185)*Z23</f>
        <v>-6.4602535383340252</v>
      </c>
      <c r="AA133" s="71">
        <f>('Emissions Assumptions'!Y21/907185)*AA23</f>
        <v>-6.4430103272942691</v>
      </c>
      <c r="AB133" s="71">
        <f>('Emissions Assumptions'!Z21/907185)*AB23</f>
        <v>-6.4257671162545176</v>
      </c>
      <c r="AC133" s="388">
        <f>('Emissions Assumptions'!AA21/907185)*AC23</f>
        <v>-6.4085239052147616</v>
      </c>
      <c r="AD133" s="357">
        <f t="shared" si="29"/>
        <v>-174.24739109135749</v>
      </c>
    </row>
    <row r="134" spans="1:30" s="53" customFormat="1" ht="12">
      <c r="A134" s="45"/>
      <c r="B134" s="45"/>
      <c r="C134" s="224" t="s">
        <v>647</v>
      </c>
      <c r="D134" s="209"/>
      <c r="E134" s="219"/>
      <c r="F134" s="71">
        <f>('Emissions Assumptions'!D25/907185)*F23</f>
        <v>0</v>
      </c>
      <c r="G134" s="71">
        <f>('Emissions Assumptions'!E25/907185)*G23</f>
        <v>-1.785796737306018E-4</v>
      </c>
      <c r="H134" s="71">
        <f>('Emissions Assumptions'!F25/907185)*H23</f>
        <v>-1.8023326478652839E-4</v>
      </c>
      <c r="I134" s="71">
        <f>('Emissions Assumptions'!G25/907185)*I23</f>
        <v>-1.8188685584245493E-4</v>
      </c>
      <c r="J134" s="71">
        <f>('Emissions Assumptions'!H25/907185)*J23</f>
        <v>-1.8354044689838147E-4</v>
      </c>
      <c r="K134" s="71">
        <f>('Emissions Assumptions'!I25/907185)*K23</f>
        <v>-1.8734745700028842E-4</v>
      </c>
      <c r="L134" s="71">
        <f>('Emissions Assumptions'!J25/907185)*L23</f>
        <v>-1.8902027585919085E-4</v>
      </c>
      <c r="M134" s="71">
        <f>('Emissions Assumptions'!K25/907185)*M23</f>
        <v>-1.9069309471809331E-4</v>
      </c>
      <c r="N134" s="71">
        <f>('Emissions Assumptions'!L25/907185)*N23</f>
        <v>-1.9020109579832281E-4</v>
      </c>
      <c r="O134" s="71">
        <f>('Emissions Assumptions'!M25/907185)*O23</f>
        <v>-1.897090968785522E-4</v>
      </c>
      <c r="P134" s="71">
        <f>('Emissions Assumptions'!N25/907185)*P23</f>
        <v>-1.8921709795878164E-4</v>
      </c>
      <c r="Q134" s="71">
        <f>('Emissions Assumptions'!O25/907185)*Q23</f>
        <v>-1.8872509903901114E-4</v>
      </c>
      <c r="R134" s="71">
        <f>('Emissions Assumptions'!P25/907185)*R23</f>
        <v>-1.8823310011924053E-4</v>
      </c>
      <c r="S134" s="71">
        <f>('Emissions Assumptions'!Q25/907185)*S23</f>
        <v>-1.8774110119947E-4</v>
      </c>
      <c r="T134" s="71">
        <f>('Emissions Assumptions'!R25/907185)*T23</f>
        <v>-1.8724910227969939E-4</v>
      </c>
      <c r="U134" s="71">
        <f>('Emissions Assumptions'!S25/907185)*U23</f>
        <v>-1.8675710335992881E-4</v>
      </c>
      <c r="V134" s="71">
        <f>('Emissions Assumptions'!T25/907185)*V23</f>
        <v>-1.8626510444015826E-4</v>
      </c>
      <c r="W134" s="71">
        <f>('Emissions Assumptions'!U25/907185)*W23</f>
        <v>-1.8577310552038767E-4</v>
      </c>
      <c r="X134" s="71">
        <f>('Emissions Assumptions'!V25/907185)*X23</f>
        <v>-1.8050165364042205E-4</v>
      </c>
      <c r="Y134" s="71">
        <f>('Emissions Assumptions'!W25/907185)*Y23</f>
        <v>-1.8209165408410825E-4</v>
      </c>
      <c r="Z134" s="71">
        <f>('Emissions Assumptions'!X25/907185)*Z23</f>
        <v>-1.8160692287675511E-4</v>
      </c>
      <c r="AA134" s="71">
        <f>('Emissions Assumptions'!Y25/907185)*AA23</f>
        <v>-1.811221916694019E-4</v>
      </c>
      <c r="AB134" s="71">
        <f>('Emissions Assumptions'!Z25/907185)*AB23</f>
        <v>-1.8063746046204879E-4</v>
      </c>
      <c r="AC134" s="388">
        <f>('Emissions Assumptions'!AA25/907185)*AC23</f>
        <v>-1.8015272925469558E-4</v>
      </c>
      <c r="AD134" s="357">
        <f t="shared" si="29"/>
        <v>-4.2572846874165239E-3</v>
      </c>
    </row>
    <row r="135" spans="1:30" s="53" customFormat="1" ht="12">
      <c r="A135" s="45"/>
      <c r="B135" s="45"/>
      <c r="C135" s="70" t="s">
        <v>115</v>
      </c>
      <c r="D135" s="209"/>
      <c r="E135" s="217"/>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263"/>
      <c r="AD135" s="338"/>
    </row>
    <row r="136" spans="1:30" s="53" customFormat="1" ht="12">
      <c r="A136" s="45"/>
      <c r="B136" s="45"/>
      <c r="C136" s="48" t="s">
        <v>43</v>
      </c>
      <c r="D136" s="209"/>
      <c r="E136" s="220"/>
      <c r="F136" s="56">
        <f>-(F130*'Emissions Assumptions'!D12)</f>
        <v>0</v>
      </c>
      <c r="G136" s="56">
        <f>-(G130*'Emissions Assumptions'!E12)</f>
        <v>0</v>
      </c>
      <c r="H136" s="56">
        <f>-(H130*'Emissions Assumptions'!F12)</f>
        <v>0</v>
      </c>
      <c r="I136" s="56">
        <f>-(I130*'Emissions Assumptions'!G12)</f>
        <v>0</v>
      </c>
      <c r="J136" s="56">
        <f>-(J130*'Emissions Assumptions'!H12)</f>
        <v>92.278169007877452</v>
      </c>
      <c r="K136" s="56">
        <f>-(K130*'Emissions Assumptions'!I12)</f>
        <v>119.05396742269517</v>
      </c>
      <c r="L136" s="56">
        <f>-(L130*'Emissions Assumptions'!J12)</f>
        <v>113.67744876197068</v>
      </c>
      <c r="M136" s="56">
        <f>-(M130*'Emissions Assumptions'!K12)</f>
        <v>72.237848135292808</v>
      </c>
      <c r="N136" s="56">
        <f>-(N130*'Emissions Assumptions'!L12)</f>
        <v>101.15052778491571</v>
      </c>
      <c r="O136" s="56">
        <f>-(O130*'Emissions Assumptions'!M12)</f>
        <v>94.150728774456155</v>
      </c>
      <c r="P136" s="56">
        <f>-(P130*'Emissions Assumptions'!N12)</f>
        <v>93.661375559872297</v>
      </c>
      <c r="Q136" s="56">
        <f>-(Q130*'Emissions Assumptions'!O12)</f>
        <v>93.16239657846954</v>
      </c>
      <c r="R136" s="56">
        <f>-(R130*'Emissions Assumptions'!P12)</f>
        <v>92.653624617889776</v>
      </c>
      <c r="S136" s="56">
        <f>-(S130*'Emissions Assumptions'!Q12)</f>
        <v>92.134890028618628</v>
      </c>
      <c r="T136" s="56">
        <f>-(T130*'Emissions Assumptions'!R12)</f>
        <v>91.606020691963451</v>
      </c>
      <c r="U136" s="56">
        <f>-(U130*'Emissions Assumptions'!S12)</f>
        <v>91.066841987635044</v>
      </c>
      <c r="V136" s="56">
        <f>-(V130*'Emissions Assumptions'!T12)</f>
        <v>90.517176760927143</v>
      </c>
      <c r="W136" s="56">
        <f>-(W130*'Emissions Assumptions'!U12)</f>
        <v>89.956845289490388</v>
      </c>
      <c r="X136" s="56">
        <f>-(X130*'Emissions Assumptions'!V12)</f>
        <v>89.600758297484489</v>
      </c>
      <c r="Y136" s="56">
        <f>-(Y130*'Emissions Assumptions'!W12)</f>
        <v>89.01590613398794</v>
      </c>
      <c r="Z136" s="56">
        <f>-(Z130*'Emissions Assumptions'!X12)</f>
        <v>89.641600757306449</v>
      </c>
      <c r="AA136" s="56">
        <f>-(AA130*'Emissions Assumptions'!Y12)</f>
        <v>90.273340189795817</v>
      </c>
      <c r="AB136" s="56">
        <f>-(AB130*'Emissions Assumptions'!Z12)</f>
        <v>90.911184879547832</v>
      </c>
      <c r="AC136" s="389">
        <f>-(AC130*'Emissions Assumptions'!AA12)</f>
        <v>91.555195879135113</v>
      </c>
      <c r="AD136" s="358">
        <f t="shared" si="29"/>
        <v>1868.3058475393323</v>
      </c>
    </row>
    <row r="137" spans="1:30" ht="13.5">
      <c r="A137" s="45"/>
      <c r="B137" s="45"/>
      <c r="C137" s="48" t="s">
        <v>119</v>
      </c>
      <c r="D137" s="209"/>
      <c r="E137" s="220"/>
      <c r="F137" s="56">
        <f>-(F131*'Emissions Assumptions'!D6)</f>
        <v>0</v>
      </c>
      <c r="G137" s="56">
        <f>-(G131*'Emissions Assumptions'!E6)</f>
        <v>45.754061132516775</v>
      </c>
      <c r="H137" s="56">
        <f>-(H131*'Emissions Assumptions'!F6)</f>
        <v>43.136437951716324</v>
      </c>
      <c r="I137" s="56">
        <f>-(I131*'Emissions Assumptions'!G6)</f>
        <v>40.463008735089524</v>
      </c>
      <c r="J137" s="56">
        <f>-(J131*'Emissions Assumptions'!H6)</f>
        <v>37.73377348263638</v>
      </c>
      <c r="K137" s="56">
        <f>-(K131*'Emissions Assumptions'!I6)</f>
        <v>34.948732194356907</v>
      </c>
      <c r="L137" s="56">
        <f>-(L131*'Emissions Assumptions'!J6)</f>
        <v>32.107884870251084</v>
      </c>
      <c r="M137" s="56">
        <f>-(M131*'Emissions Assumptions'!K6)</f>
        <v>29.211231510318918</v>
      </c>
      <c r="N137" s="56">
        <f>-(N131*'Emissions Assumptions'!L6)</f>
        <v>25.96326520451229</v>
      </c>
      <c r="O137" s="56">
        <f>-(O131*'Emissions Assumptions'!M6)</f>
        <v>22.73171221757584</v>
      </c>
      <c r="P137" s="56">
        <f>-(P131*'Emissions Assumptions'!N6)</f>
        <v>22.258584269011799</v>
      </c>
      <c r="Q137" s="56">
        <f>-(Q131*'Emissions Assumptions'!O6)</f>
        <v>21.787610179485352</v>
      </c>
      <c r="R137" s="56">
        <f>-(R131*'Emissions Assumptions'!P6)</f>
        <v>21.318789948996475</v>
      </c>
      <c r="S137" s="56">
        <f>-(S131*'Emissions Assumptions'!Q6)</f>
        <v>20.852123577545182</v>
      </c>
      <c r="T137" s="56">
        <f>-(T131*'Emissions Assumptions'!R6)</f>
        <v>20.387611065131463</v>
      </c>
      <c r="U137" s="56">
        <f>-(U131*'Emissions Assumptions'!S6)</f>
        <v>19.925252411755327</v>
      </c>
      <c r="V137" s="56">
        <f>-(V131*'Emissions Assumptions'!T6)</f>
        <v>19.465047617416769</v>
      </c>
      <c r="W137" s="56">
        <f>-(W131*'Emissions Assumptions'!U6)</f>
        <v>19.006996682115794</v>
      </c>
      <c r="X137" s="56">
        <f>-(X131*'Emissions Assumptions'!V6)</f>
        <v>18.072561294241467</v>
      </c>
      <c r="Y137" s="56">
        <f>-(Y131*'Emissions Assumptions'!W6)</f>
        <v>17.630530976512258</v>
      </c>
      <c r="Z137" s="56">
        <f>-(Z131*'Emissions Assumptions'!X6)</f>
        <v>17.583598190880171</v>
      </c>
      <c r="AA137" s="56">
        <f>-(AA131*'Emissions Assumptions'!Y6)</f>
        <v>17.536665405248073</v>
      </c>
      <c r="AB137" s="56">
        <f>-(AB131*'Emissions Assumptions'!Z6)</f>
        <v>17.489732619615992</v>
      </c>
      <c r="AC137" s="389">
        <f>-(AC131*'Emissions Assumptions'!AA6)</f>
        <v>17.442799833983894</v>
      </c>
      <c r="AD137" s="358">
        <f t="shared" si="29"/>
        <v>582.80801137091407</v>
      </c>
    </row>
    <row r="138" spans="1:30" ht="13.5">
      <c r="A138" s="45"/>
      <c r="B138" s="45"/>
      <c r="C138" s="48" t="s">
        <v>117</v>
      </c>
      <c r="D138" s="209"/>
      <c r="E138" s="220"/>
      <c r="F138" s="56">
        <f>-(F132*'Emissions Assumptions'!D15)</f>
        <v>0</v>
      </c>
      <c r="G138" s="56">
        <f>-(G132*'Emissions Assumptions'!E15)</f>
        <v>3578.8916009919553</v>
      </c>
      <c r="H138" s="56">
        <f>-(H132*'Emissions Assumptions'!F15)</f>
        <v>3370.3515728298944</v>
      </c>
      <c r="I138" s="56">
        <f>-(I132*'Emissions Assumptions'!G15)</f>
        <v>3157.376858980092</v>
      </c>
      <c r="J138" s="56">
        <f>-(J132*'Emissions Assumptions'!H15)</f>
        <v>2939.9674594425464</v>
      </c>
      <c r="K138" s="56">
        <f>-(K132*'Emissions Assumptions'!I15)</f>
        <v>2718.1233742172617</v>
      </c>
      <c r="L138" s="56">
        <f>-(L132*'Emissions Assumptions'!J15)</f>
        <v>2491.8446033042333</v>
      </c>
      <c r="M138" s="56">
        <f>-(M132*'Emissions Assumptions'!K15)</f>
        <v>2261.1311467034634</v>
      </c>
      <c r="N138" s="56">
        <f>-(N132*'Emissions Assumptions'!L15)</f>
        <v>2003.1833100944127</v>
      </c>
      <c r="O138" s="56">
        <f>-(O132*'Emissions Assumptions'!M15)</f>
        <v>1746.53977523703</v>
      </c>
      <c r="P138" s="56">
        <f>-(P132*'Emissions Assumptions'!N15)</f>
        <v>1695.3318287856184</v>
      </c>
      <c r="Q138" s="56">
        <f>-(Q132*'Emissions Assumptions'!O15)</f>
        <v>1644.3666270320077</v>
      </c>
      <c r="R138" s="56">
        <f>-(R132*'Emissions Assumptions'!P15)</f>
        <v>1593.6441699761967</v>
      </c>
      <c r="S138" s="56">
        <f>-(S132*'Emissions Assumptions'!Q15)</f>
        <v>1543.164457618187</v>
      </c>
      <c r="T138" s="56">
        <f>-(T132*'Emissions Assumptions'!R15)</f>
        <v>1492.9274899579777</v>
      </c>
      <c r="U138" s="56">
        <f>-(U132*'Emissions Assumptions'!S15)</f>
        <v>1442.9332669955693</v>
      </c>
      <c r="V138" s="56">
        <f>-(V132*'Emissions Assumptions'!T15)</f>
        <v>1393.1817887309608</v>
      </c>
      <c r="W138" s="56">
        <f>-(W132*'Emissions Assumptions'!U15)</f>
        <v>1343.673055164154</v>
      </c>
      <c r="X138" s="56">
        <f>-(X132*'Emissions Assumptions'!V15)</f>
        <v>1261.0169500646932</v>
      </c>
      <c r="Y138" s="56">
        <f>-(Y132*'Emissions Assumptions'!W15)</f>
        <v>1213.2588640074678</v>
      </c>
      <c r="Z138" s="56">
        <f>-(Z132*'Emissions Assumptions'!X15)</f>
        <v>1210.0291474290761</v>
      </c>
      <c r="AA138" s="56">
        <f>-(AA132*'Emissions Assumptions'!Y15)</f>
        <v>1206.7994308506836</v>
      </c>
      <c r="AB138" s="56">
        <f>-(AB132*'Emissions Assumptions'!Z15)</f>
        <v>1203.5697142722922</v>
      </c>
      <c r="AC138" s="389">
        <f>-(AC132*'Emissions Assumptions'!AA15)</f>
        <v>1200.3399976938997</v>
      </c>
      <c r="AD138" s="358">
        <f t="shared" si="29"/>
        <v>43711.646490379673</v>
      </c>
    </row>
    <row r="139" spans="1:30" s="53" customFormat="1" ht="13.5">
      <c r="A139" s="45"/>
      <c r="B139" s="45"/>
      <c r="C139" s="48" t="s">
        <v>118</v>
      </c>
      <c r="D139" s="209"/>
      <c r="E139" s="220"/>
      <c r="F139" s="56">
        <f>-(F133*'Emissions Assumptions'!D22)</f>
        <v>0</v>
      </c>
      <c r="G139" s="56">
        <f>-(G133*'Emissions Assumptions'!E22)</f>
        <v>205.17863260948255</v>
      </c>
      <c r="H139" s="56">
        <f>-(H133*'Emissions Assumptions'!F22)</f>
        <v>205.85864648150917</v>
      </c>
      <c r="I139" s="56">
        <f>-(I133*'Emissions Assumptions'!G22)</f>
        <v>207.23154790473896</v>
      </c>
      <c r="J139" s="56">
        <f>-(J133*'Emissions Assumptions'!H22)</f>
        <v>208.37542418152296</v>
      </c>
      <c r="K139" s="56">
        <f>-(K133*'Emissions Assumptions'!I22)</f>
        <v>209.28433865264753</v>
      </c>
      <c r="L139" s="56">
        <f>-(L133*'Emissions Assumptions'!J22)</f>
        <v>209.95235465889851</v>
      </c>
      <c r="M139" s="56">
        <f>-(M133*'Emissions Assumptions'!K22)</f>
        <v>210.37353554106227</v>
      </c>
      <c r="N139" s="56">
        <f>-(N133*'Emissions Assumptions'!L22)</f>
        <v>208.17258025286861</v>
      </c>
      <c r="O139" s="56">
        <f>-(O133*'Emissions Assumptions'!M22)</f>
        <v>205.75578424246098</v>
      </c>
      <c r="P139" s="56">
        <f>-(P133*'Emissions Assumptions'!N22)</f>
        <v>207.99842692607228</v>
      </c>
      <c r="Q139" s="56">
        <f>-(Q133*'Emissions Assumptions'!O22)</f>
        <v>209.32928434201901</v>
      </c>
      <c r="R139" s="56">
        <f>-(R133*'Emissions Assumptions'!P22)</f>
        <v>211.27819512315054</v>
      </c>
      <c r="S139" s="56">
        <f>-(S133*'Emissions Assumptions'!Q22)</f>
        <v>212.34113669296357</v>
      </c>
      <c r="T139" s="56">
        <f>-(T133*'Emissions Assumptions'!R22)</f>
        <v>214.00045418224374</v>
      </c>
      <c r="U139" s="56">
        <f>-(U133*'Emissions Assumptions'!S22)</f>
        <v>214.79941158602006</v>
      </c>
      <c r="V139" s="56">
        <f>-(V133*'Emissions Assumptions'!T22)</f>
        <v>216.1732743940772</v>
      </c>
      <c r="W139" s="56">
        <f>-(W133*'Emissions Assumptions'!U22)</f>
        <v>216.71217931191384</v>
      </c>
      <c r="X139" s="56">
        <f>-(X133*'Emissions Assumptions'!V22)</f>
        <v>211.52734038752828</v>
      </c>
      <c r="Y139" s="56">
        <f>-(Y133*'Emissions Assumptions'!W22)</f>
        <v>212.46189337945992</v>
      </c>
      <c r="Z139" s="56">
        <f>-(Z133*'Emissions Assumptions'!X22)</f>
        <v>215.77246818035644</v>
      </c>
      <c r="AA139" s="56">
        <f>-(AA133*'Emissions Assumptions'!Y22)</f>
        <v>219.70665216073459</v>
      </c>
      <c r="AB139" s="56">
        <f>-(AB133*'Emissions Assumptions'!Z22)</f>
        <v>222.97411893403176</v>
      </c>
      <c r="AC139" s="389">
        <f>-(AC133*'Emissions Assumptions'!AA22)</f>
        <v>226.86174624460256</v>
      </c>
      <c r="AD139" s="358">
        <f t="shared" si="29"/>
        <v>4882.1194263703665</v>
      </c>
    </row>
    <row r="140" spans="1:30" s="53" customFormat="1" ht="12">
      <c r="A140" s="45"/>
      <c r="B140" s="45"/>
      <c r="C140" s="224" t="s">
        <v>645</v>
      </c>
      <c r="D140" s="209"/>
      <c r="E140" s="220"/>
      <c r="F140" s="56">
        <f>-(F134*'Emissions Assumptions'!D26)</f>
        <v>0</v>
      </c>
      <c r="G140" s="56">
        <f>-(G134*'Emissions Assumptions'!E26)</f>
        <v>5.5359698856486554</v>
      </c>
      <c r="H140" s="56">
        <f>-(H134*'Emissions Assumptions'!F26)</f>
        <v>5.5872312083823799</v>
      </c>
      <c r="I140" s="56">
        <f>-(I134*'Emissions Assumptions'!G26)</f>
        <v>5.6384925311161025</v>
      </c>
      <c r="J140" s="56">
        <f>-(J134*'Emissions Assumptions'!H26)</f>
        <v>5.6897538538498251</v>
      </c>
      <c r="K140" s="56">
        <f>-(K134*'Emissions Assumptions'!I26)</f>
        <v>5.8077711670089407</v>
      </c>
      <c r="L140" s="56">
        <f>-(L134*'Emissions Assumptions'!J26)</f>
        <v>5.8596285516349162</v>
      </c>
      <c r="M140" s="56">
        <f>-(M134*'Emissions Assumptions'!K26)</f>
        <v>5.9114859362608927</v>
      </c>
      <c r="N140" s="56">
        <f>-(N134*'Emissions Assumptions'!L26)</f>
        <v>5.8962339697480068</v>
      </c>
      <c r="O140" s="56">
        <f>-(O134*'Emissions Assumptions'!M26)</f>
        <v>5.8809820032351183</v>
      </c>
      <c r="P140" s="56">
        <f>-(P134*'Emissions Assumptions'!N26)</f>
        <v>5.8657300367222307</v>
      </c>
      <c r="Q140" s="56">
        <f>-(Q134*'Emissions Assumptions'!O26)</f>
        <v>5.8504780702093457</v>
      </c>
      <c r="R140" s="56">
        <f>-(R134*'Emissions Assumptions'!P26)</f>
        <v>5.8352261036964563</v>
      </c>
      <c r="S140" s="56">
        <f>-(S134*'Emissions Assumptions'!Q26)</f>
        <v>5.8199741371835705</v>
      </c>
      <c r="T140" s="56">
        <f>-(T134*'Emissions Assumptions'!R26)</f>
        <v>5.8047221706706811</v>
      </c>
      <c r="U140" s="56">
        <f>-(U134*'Emissions Assumptions'!S26)</f>
        <v>5.7894702041577935</v>
      </c>
      <c r="V140" s="56">
        <f>-(V134*'Emissions Assumptions'!T26)</f>
        <v>5.7742182376449058</v>
      </c>
      <c r="W140" s="56">
        <f>-(W134*'Emissions Assumptions'!U26)</f>
        <v>5.7589662711320182</v>
      </c>
      <c r="X140" s="56">
        <f>-(X134*'Emissions Assumptions'!V26)</f>
        <v>5.5955512628530837</v>
      </c>
      <c r="Y140" s="56">
        <f>-(Y134*'Emissions Assumptions'!W26)</f>
        <v>5.6448412766073561</v>
      </c>
      <c r="Z140" s="56">
        <f>-(Z134*'Emissions Assumptions'!X26)</f>
        <v>5.6298146091794088</v>
      </c>
      <c r="AA140" s="56">
        <f>-(AA134*'Emissions Assumptions'!Y26)</f>
        <v>5.6147879417514588</v>
      </c>
      <c r="AB140" s="56">
        <f>-(AB134*'Emissions Assumptions'!Z26)</f>
        <v>5.5997612743235123</v>
      </c>
      <c r="AC140" s="389">
        <f>-(AC134*'Emissions Assumptions'!AA26)</f>
        <v>5.5847346068955632</v>
      </c>
      <c r="AD140" s="358">
        <f t="shared" si="29"/>
        <v>131.97582530991221</v>
      </c>
    </row>
    <row r="141" spans="1:30" s="5" customFormat="1" ht="12">
      <c r="A141" s="58"/>
      <c r="B141" s="58"/>
      <c r="C141" s="62" t="s">
        <v>591</v>
      </c>
      <c r="D141" s="212"/>
      <c r="E141" s="220"/>
      <c r="F141" s="83">
        <f>SUM(F136:F140)</f>
        <v>0</v>
      </c>
      <c r="G141" s="83">
        <f t="shared" ref="G141:AC141" si="35">SUM(G136:G140)</f>
        <v>3835.3602646196032</v>
      </c>
      <c r="H141" s="83">
        <f t="shared" si="35"/>
        <v>3624.9338884715025</v>
      </c>
      <c r="I141" s="83">
        <f t="shared" si="35"/>
        <v>3410.7099081510369</v>
      </c>
      <c r="J141" s="83">
        <f t="shared" si="35"/>
        <v>3284.044579968433</v>
      </c>
      <c r="K141" s="83">
        <f t="shared" si="35"/>
        <v>3087.2181836539703</v>
      </c>
      <c r="L141" s="83">
        <f t="shared" si="35"/>
        <v>2853.4419201469887</v>
      </c>
      <c r="M141" s="83">
        <f t="shared" si="35"/>
        <v>2578.865247826398</v>
      </c>
      <c r="N141" s="83">
        <f t="shared" si="35"/>
        <v>2344.3659173064575</v>
      </c>
      <c r="O141" s="83">
        <f t="shared" si="35"/>
        <v>2075.0589824747581</v>
      </c>
      <c r="P141" s="83">
        <f t="shared" si="35"/>
        <v>2025.1159455772968</v>
      </c>
      <c r="Q141" s="83">
        <f t="shared" si="35"/>
        <v>1974.4963962021911</v>
      </c>
      <c r="R141" s="83">
        <f t="shared" si="35"/>
        <v>1924.7300057699299</v>
      </c>
      <c r="S141" s="83">
        <f t="shared" si="35"/>
        <v>1874.3125820544981</v>
      </c>
      <c r="T141" s="83">
        <f t="shared" si="35"/>
        <v>1824.726298067987</v>
      </c>
      <c r="U141" s="83">
        <f t="shared" si="35"/>
        <v>1774.5142431851377</v>
      </c>
      <c r="V141" s="83">
        <f t="shared" si="35"/>
        <v>1725.1115057410268</v>
      </c>
      <c r="W141" s="83">
        <f t="shared" si="35"/>
        <v>1675.108042718806</v>
      </c>
      <c r="X141" s="83">
        <f t="shared" si="35"/>
        <v>1585.8131613068006</v>
      </c>
      <c r="Y141" s="83">
        <f t="shared" si="35"/>
        <v>1538.0120357740354</v>
      </c>
      <c r="Z141" s="83">
        <f t="shared" si="35"/>
        <v>1538.6566291667987</v>
      </c>
      <c r="AA141" s="83">
        <f t="shared" si="35"/>
        <v>1539.9308765482137</v>
      </c>
      <c r="AB141" s="83">
        <f t="shared" si="35"/>
        <v>1540.5445119798114</v>
      </c>
      <c r="AC141" s="272">
        <f t="shared" si="35"/>
        <v>1541.7844742585169</v>
      </c>
      <c r="AD141" s="355">
        <f t="shared" si="29"/>
        <v>51176.855600970201</v>
      </c>
    </row>
    <row r="142" spans="1:30" s="53" customFormat="1" ht="12">
      <c r="A142" s="45"/>
      <c r="B142" s="45"/>
      <c r="D142" s="209"/>
      <c r="E142" s="217"/>
      <c r="F142" s="45"/>
      <c r="G142" s="57"/>
      <c r="AC142" s="263"/>
      <c r="AD142" s="338"/>
    </row>
    <row r="143" spans="1:30" s="53" customFormat="1" ht="12">
      <c r="A143" s="45"/>
      <c r="B143" s="45"/>
      <c r="C143" s="64" t="s">
        <v>91</v>
      </c>
      <c r="D143" s="209"/>
      <c r="E143" s="217"/>
      <c r="F143" s="45"/>
      <c r="G143" s="57"/>
      <c r="AC143" s="263"/>
      <c r="AD143" s="338"/>
    </row>
    <row r="144" spans="1:30" s="53" customFormat="1" ht="24">
      <c r="A144" s="45"/>
      <c r="B144" s="45"/>
      <c r="C144" s="203" t="s">
        <v>132</v>
      </c>
      <c r="D144" s="259">
        <f>'Price Assumptions'!$B$22</f>
        <v>0.2</v>
      </c>
      <c r="E144" s="217"/>
      <c r="G144" s="96"/>
      <c r="H144" s="96"/>
      <c r="I144" s="96"/>
      <c r="J144" s="96"/>
      <c r="K144" s="96"/>
      <c r="L144" s="96"/>
      <c r="M144" s="96"/>
      <c r="N144" s="96"/>
      <c r="O144" s="96"/>
      <c r="P144" s="96"/>
      <c r="Q144" s="96"/>
      <c r="R144" s="96"/>
      <c r="S144" s="96"/>
      <c r="T144" s="96"/>
      <c r="U144" s="96"/>
      <c r="V144" s="96"/>
      <c r="W144" s="96"/>
      <c r="X144" s="96"/>
      <c r="Y144" s="96"/>
      <c r="AC144" s="263"/>
      <c r="AD144" s="338"/>
    </row>
    <row r="145" spans="1:30" s="53" customFormat="1" ht="24">
      <c r="A145" s="45"/>
      <c r="B145" s="45"/>
      <c r="C145" s="283" t="s">
        <v>503</v>
      </c>
      <c r="D145" s="284">
        <f>'Price Assumptions'!$B$21</f>
        <v>5.4413625171743009E-2</v>
      </c>
      <c r="E145" s="217"/>
      <c r="G145" s="95"/>
      <c r="H145" s="95"/>
      <c r="I145" s="95"/>
      <c r="J145" s="95"/>
      <c r="K145" s="95"/>
      <c r="L145" s="95"/>
      <c r="M145" s="95"/>
      <c r="N145" s="95"/>
      <c r="O145" s="95"/>
      <c r="P145" s="95"/>
      <c r="Q145" s="95"/>
      <c r="R145" s="95"/>
      <c r="S145" s="95"/>
      <c r="T145" s="95"/>
      <c r="U145" s="95"/>
      <c r="V145" s="95"/>
      <c r="W145" s="95"/>
      <c r="X145" s="95"/>
      <c r="Y145" s="95"/>
      <c r="AC145" s="263"/>
      <c r="AD145" s="338"/>
    </row>
    <row r="146" spans="1:30" s="5" customFormat="1" ht="12">
      <c r="A146" s="58"/>
      <c r="B146" s="58"/>
      <c r="C146" s="87" t="s">
        <v>504</v>
      </c>
      <c r="D146" s="212"/>
      <c r="E146" s="220"/>
      <c r="F146" s="83">
        <f>$D$145*$D$144*(F16+F17)</f>
        <v>0</v>
      </c>
      <c r="G146" s="83">
        <f t="shared" ref="G146:AC146" si="36">$D$145*$D$144*(G16+G17)</f>
        <v>1.1724852619273909</v>
      </c>
      <c r="H146" s="83">
        <f t="shared" si="36"/>
        <v>1.1833421030326876</v>
      </c>
      <c r="I146" s="83">
        <f t="shared" si="36"/>
        <v>1.1941989441379841</v>
      </c>
      <c r="J146" s="83">
        <f t="shared" si="36"/>
        <v>1.2050557852432808</v>
      </c>
      <c r="K146" s="83">
        <f t="shared" si="36"/>
        <v>1.2159126263485773</v>
      </c>
      <c r="L146" s="83">
        <f t="shared" si="36"/>
        <v>1.2267694674538741</v>
      </c>
      <c r="M146" s="83">
        <f t="shared" si="36"/>
        <v>1.2376263085591706</v>
      </c>
      <c r="N146" s="83">
        <f t="shared" si="36"/>
        <v>1.2344331630087726</v>
      </c>
      <c r="O146" s="83">
        <f t="shared" si="36"/>
        <v>1.2312400174583742</v>
      </c>
      <c r="P146" s="83">
        <f t="shared" si="36"/>
        <v>1.228046871907976</v>
      </c>
      <c r="Q146" s="83">
        <f t="shared" si="36"/>
        <v>1.2248537263575781</v>
      </c>
      <c r="R146" s="83">
        <f t="shared" si="36"/>
        <v>1.2216605808071799</v>
      </c>
      <c r="S146" s="83">
        <f t="shared" si="36"/>
        <v>1.2184674352567819</v>
      </c>
      <c r="T146" s="83">
        <f t="shared" si="36"/>
        <v>1.2152742897063837</v>
      </c>
      <c r="U146" s="83">
        <f t="shared" si="36"/>
        <v>1.2120811441559851</v>
      </c>
      <c r="V146" s="83">
        <f t="shared" si="36"/>
        <v>1.2088879986055867</v>
      </c>
      <c r="W146" s="83">
        <f t="shared" si="36"/>
        <v>1.2056948530551885</v>
      </c>
      <c r="X146" s="83">
        <f t="shared" si="36"/>
        <v>1.1714823529088467</v>
      </c>
      <c r="Y146" s="83">
        <f t="shared" si="36"/>
        <v>1.1683721256228157</v>
      </c>
      <c r="Z146" s="83">
        <f t="shared" si="36"/>
        <v>1.1652618983367846</v>
      </c>
      <c r="AA146" s="83">
        <f t="shared" si="36"/>
        <v>1.1621516710507536</v>
      </c>
      <c r="AB146" s="83">
        <f t="shared" si="36"/>
        <v>1.1590414437647225</v>
      </c>
      <c r="AC146" s="272">
        <f t="shared" si="36"/>
        <v>1.1559312164786912</v>
      </c>
      <c r="AD146" s="355">
        <f t="shared" si="29"/>
        <v>27.618271285185383</v>
      </c>
    </row>
    <row r="147" spans="1:30" s="110" customFormat="1" ht="12">
      <c r="A147" s="107"/>
      <c r="B147" s="107"/>
      <c r="C147" s="108"/>
      <c r="D147" s="208"/>
      <c r="E147" s="216"/>
      <c r="F147" s="109"/>
      <c r="G147" s="109"/>
      <c r="H147" s="109"/>
      <c r="I147" s="109"/>
      <c r="J147" s="109"/>
      <c r="K147" s="109"/>
      <c r="L147" s="109"/>
      <c r="M147" s="109"/>
      <c r="N147" s="109"/>
      <c r="O147" s="109"/>
      <c r="P147" s="109"/>
      <c r="Q147" s="109"/>
      <c r="R147" s="109"/>
      <c r="S147" s="109"/>
      <c r="T147" s="109"/>
      <c r="U147" s="109"/>
      <c r="V147" s="109"/>
      <c r="W147" s="109"/>
      <c r="X147" s="109"/>
      <c r="Y147" s="109"/>
      <c r="Z147" s="109"/>
      <c r="AC147" s="262"/>
      <c r="AD147" s="337"/>
    </row>
    <row r="148" spans="1:30" s="110" customFormat="1" ht="12">
      <c r="A148" s="58" t="s">
        <v>345</v>
      </c>
      <c r="B148" s="58"/>
      <c r="C148" s="108"/>
      <c r="D148" s="208"/>
      <c r="E148" s="216"/>
      <c r="F148" s="109"/>
      <c r="G148" s="109"/>
      <c r="H148" s="109"/>
      <c r="I148" s="109"/>
      <c r="J148" s="109"/>
      <c r="K148" s="109"/>
      <c r="L148" s="109"/>
      <c r="M148" s="109"/>
      <c r="N148" s="109"/>
      <c r="O148" s="109"/>
      <c r="P148" s="109"/>
      <c r="Q148" s="109"/>
      <c r="R148" s="109"/>
      <c r="S148" s="109"/>
      <c r="T148" s="109"/>
      <c r="U148" s="109"/>
      <c r="V148" s="109"/>
      <c r="W148" s="109"/>
      <c r="X148" s="109"/>
      <c r="Y148" s="109"/>
      <c r="Z148" s="109"/>
      <c r="AC148" s="262"/>
      <c r="AD148" s="337"/>
    </row>
    <row r="149" spans="1:30" s="110" customFormat="1" ht="12">
      <c r="A149" s="58"/>
      <c r="B149" s="58"/>
      <c r="C149" s="46" t="s">
        <v>39</v>
      </c>
      <c r="D149" s="210"/>
      <c r="E149" s="217"/>
      <c r="F149" s="45"/>
      <c r="G149" s="109"/>
      <c r="H149" s="109"/>
      <c r="I149" s="109"/>
      <c r="J149" s="109"/>
      <c r="K149" s="109"/>
      <c r="L149" s="109"/>
      <c r="M149" s="109"/>
      <c r="N149" s="109"/>
      <c r="O149" s="109"/>
      <c r="P149" s="109"/>
      <c r="Q149" s="109"/>
      <c r="R149" s="109"/>
      <c r="S149" s="109"/>
      <c r="T149" s="109"/>
      <c r="U149" s="109"/>
      <c r="V149" s="109"/>
      <c r="W149" s="109"/>
      <c r="X149" s="109"/>
      <c r="Y149" s="109"/>
      <c r="Z149" s="109"/>
      <c r="AC149" s="262"/>
      <c r="AD149" s="337"/>
    </row>
    <row r="150" spans="1:30" s="110" customFormat="1" ht="12">
      <c r="A150" s="58"/>
      <c r="B150" s="58" t="s">
        <v>225</v>
      </c>
      <c r="D150" s="210"/>
      <c r="E150" s="217"/>
      <c r="F150" s="45"/>
      <c r="G150" s="109"/>
      <c r="H150" s="109"/>
      <c r="I150" s="109"/>
      <c r="J150" s="109"/>
      <c r="K150" s="109"/>
      <c r="L150" s="109"/>
      <c r="M150" s="109"/>
      <c r="N150" s="109"/>
      <c r="O150" s="109"/>
      <c r="P150" s="109"/>
      <c r="Q150" s="109"/>
      <c r="R150" s="109"/>
      <c r="S150" s="109"/>
      <c r="T150" s="109"/>
      <c r="U150" s="109"/>
      <c r="V150" s="109"/>
      <c r="W150" s="109"/>
      <c r="X150" s="109"/>
      <c r="Y150" s="109"/>
      <c r="Z150" s="109"/>
      <c r="AC150" s="262"/>
      <c r="AD150" s="337"/>
    </row>
    <row r="151" spans="1:30" s="110" customFormat="1" ht="12">
      <c r="A151" s="58"/>
      <c r="B151" s="444" t="s">
        <v>587</v>
      </c>
      <c r="C151" s="78" t="s">
        <v>561</v>
      </c>
      <c r="D151" s="210"/>
      <c r="E151" s="217"/>
      <c r="F151" s="45"/>
      <c r="G151" s="109"/>
      <c r="H151" s="109"/>
      <c r="I151" s="55"/>
      <c r="J151" s="55"/>
      <c r="K151" s="55"/>
      <c r="L151" s="55"/>
      <c r="M151" s="55"/>
      <c r="N151" s="55"/>
      <c r="O151" s="55"/>
      <c r="P151" s="55"/>
      <c r="Q151" s="55"/>
      <c r="R151" s="55"/>
      <c r="S151" s="55"/>
      <c r="T151" s="55"/>
      <c r="U151" s="55"/>
      <c r="V151" s="55"/>
      <c r="W151" s="55"/>
      <c r="X151" s="55"/>
      <c r="Y151" s="55"/>
      <c r="Z151" s="55"/>
      <c r="AA151" s="55"/>
      <c r="AB151" s="55"/>
      <c r="AC151" s="270"/>
      <c r="AD151" s="353"/>
    </row>
    <row r="152" spans="1:30" s="110" customFormat="1" ht="12">
      <c r="A152" s="58"/>
      <c r="C152" s="78" t="s">
        <v>542</v>
      </c>
      <c r="D152" s="210">
        <f>'Mode Operating Assumptions'!D189</f>
        <v>8.2555465307736857E-8</v>
      </c>
      <c r="E152" s="217"/>
      <c r="F152" s="55">
        <f t="shared" ref="F152:AC152" si="37">$D$152*(F$11+F$12)</f>
        <v>0</v>
      </c>
      <c r="G152" s="55">
        <f t="shared" si="37"/>
        <v>4.6961659746207971E-4</v>
      </c>
      <c r="H152" s="55">
        <f t="shared" si="37"/>
        <v>4.7396509798879391E-4</v>
      </c>
      <c r="I152" s="55">
        <f t="shared" si="37"/>
        <v>4.78313598515508E-4</v>
      </c>
      <c r="J152" s="55">
        <f t="shared" si="37"/>
        <v>4.8266209904222214E-4</v>
      </c>
      <c r="K152" s="55">
        <f t="shared" si="37"/>
        <v>4.870105995689364E-4</v>
      </c>
      <c r="L152" s="55">
        <f t="shared" si="37"/>
        <v>4.9135910009565054E-4</v>
      </c>
      <c r="M152" s="55">
        <f t="shared" si="37"/>
        <v>4.9570760062236452E-4</v>
      </c>
      <c r="N152" s="55">
        <f t="shared" si="37"/>
        <v>4.9442864710604148E-4</v>
      </c>
      <c r="O152" s="55">
        <f t="shared" si="37"/>
        <v>4.9314969358971823E-4</v>
      </c>
      <c r="P152" s="55">
        <f t="shared" si="37"/>
        <v>4.9187074007339497E-4</v>
      </c>
      <c r="Q152" s="55">
        <f t="shared" si="37"/>
        <v>4.9059178655707204E-4</v>
      </c>
      <c r="R152" s="55">
        <f t="shared" si="37"/>
        <v>4.8931283304074868E-4</v>
      </c>
      <c r="S152" s="55">
        <f t="shared" si="37"/>
        <v>4.8803387952442548E-4</v>
      </c>
      <c r="T152" s="55">
        <f t="shared" si="37"/>
        <v>4.8675492600810222E-4</v>
      </c>
      <c r="U152" s="55">
        <f t="shared" si="37"/>
        <v>4.8547597249177897E-4</v>
      </c>
      <c r="V152" s="55">
        <f t="shared" si="37"/>
        <v>4.8419701897545571E-4</v>
      </c>
      <c r="W152" s="55">
        <f t="shared" si="37"/>
        <v>4.8291806545913246E-4</v>
      </c>
      <c r="X152" s="55">
        <f t="shared" si="37"/>
        <v>4.6921490139292951E-4</v>
      </c>
      <c r="Y152" s="55">
        <f t="shared" si="37"/>
        <v>4.6796915920509289E-4</v>
      </c>
      <c r="Z152" s="55">
        <f t="shared" si="37"/>
        <v>4.6672341701725628E-4</v>
      </c>
      <c r="AA152" s="55">
        <f t="shared" si="37"/>
        <v>4.6547767482941961E-4</v>
      </c>
      <c r="AB152" s="55">
        <f t="shared" si="37"/>
        <v>4.6423193264158306E-4</v>
      </c>
      <c r="AC152" s="270">
        <f t="shared" si="37"/>
        <v>4.6298619045374628E-4</v>
      </c>
      <c r="AD152" s="353">
        <f t="shared" si="29"/>
        <v>1.1061971531661453E-2</v>
      </c>
    </row>
    <row r="153" spans="1:30" s="110" customFormat="1" ht="12">
      <c r="A153" s="58"/>
      <c r="C153" s="49" t="s">
        <v>40</v>
      </c>
      <c r="D153" s="308">
        <f>-'Mode Operating Assumptions'!C179</f>
        <v>-6200000</v>
      </c>
      <c r="E153" s="217"/>
      <c r="F153" s="255">
        <f>F152*$D$153</f>
        <v>0</v>
      </c>
      <c r="G153" s="255">
        <f t="shared" ref="G153:AB153" si="38">G152*$D$153</f>
        <v>-2911.6229042648943</v>
      </c>
      <c r="H153" s="255">
        <f t="shared" si="38"/>
        <v>-2938.5836075305224</v>
      </c>
      <c r="I153" s="255">
        <f t="shared" si="38"/>
        <v>-2965.5443107961496</v>
      </c>
      <c r="J153" s="255">
        <f t="shared" si="38"/>
        <v>-2992.5050140617773</v>
      </c>
      <c r="K153" s="255">
        <f t="shared" si="38"/>
        <v>-3019.4657173274059</v>
      </c>
      <c r="L153" s="255">
        <f t="shared" si="38"/>
        <v>-3046.4264205930335</v>
      </c>
      <c r="M153" s="255">
        <f t="shared" si="38"/>
        <v>-3073.3871238586598</v>
      </c>
      <c r="N153" s="255">
        <f t="shared" si="38"/>
        <v>-3065.457612057457</v>
      </c>
      <c r="O153" s="255">
        <f t="shared" si="38"/>
        <v>-3057.5281002562529</v>
      </c>
      <c r="P153" s="255">
        <f t="shared" si="38"/>
        <v>-3049.5985884550487</v>
      </c>
      <c r="Q153" s="255">
        <f t="shared" si="38"/>
        <v>-3041.6690766538468</v>
      </c>
      <c r="R153" s="255">
        <f t="shared" si="38"/>
        <v>-3033.7395648526417</v>
      </c>
      <c r="S153" s="255">
        <f t="shared" si="38"/>
        <v>-3025.810053051438</v>
      </c>
      <c r="T153" s="255">
        <f t="shared" si="38"/>
        <v>-3017.8805412502338</v>
      </c>
      <c r="U153" s="255">
        <f t="shared" si="38"/>
        <v>-3009.9510294490296</v>
      </c>
      <c r="V153" s="255">
        <f t="shared" si="38"/>
        <v>-3002.0215176478255</v>
      </c>
      <c r="W153" s="255">
        <f t="shared" si="38"/>
        <v>-2994.0920058466213</v>
      </c>
      <c r="X153" s="255">
        <f t="shared" si="38"/>
        <v>-2909.1323886361629</v>
      </c>
      <c r="Y153" s="255">
        <f t="shared" si="38"/>
        <v>-2901.4087870715757</v>
      </c>
      <c r="Z153" s="255">
        <f t="shared" si="38"/>
        <v>-2893.685185506989</v>
      </c>
      <c r="AA153" s="255">
        <f t="shared" si="38"/>
        <v>-2885.9615839424018</v>
      </c>
      <c r="AB153" s="255">
        <f t="shared" si="38"/>
        <v>-2878.2379823778151</v>
      </c>
      <c r="AC153" s="268">
        <f>AC152*$D$153</f>
        <v>-2870.514380813227</v>
      </c>
      <c r="AD153" s="360">
        <f t="shared" si="29"/>
        <v>-68584.223496300998</v>
      </c>
    </row>
    <row r="154" spans="1:30" s="110" customFormat="1" ht="12">
      <c r="A154" s="58"/>
      <c r="C154" s="78" t="s">
        <v>543</v>
      </c>
      <c r="D154" s="210">
        <f>'Mode Operating Assumptions'!D190</f>
        <v>2.5164317528336415E-6</v>
      </c>
      <c r="E154" s="217"/>
      <c r="F154" s="55">
        <f t="shared" ref="F154:AC154" si="39">$D$154*(F$11+F$12)</f>
        <v>0</v>
      </c>
      <c r="G154" s="55">
        <f t="shared" si="39"/>
        <v>1.4314716937347587E-2</v>
      </c>
      <c r="H154" s="55">
        <f t="shared" si="39"/>
        <v>1.4447266669359235E-2</v>
      </c>
      <c r="I154" s="55">
        <f t="shared" si="39"/>
        <v>1.457981640137088E-2</v>
      </c>
      <c r="J154" s="55">
        <f t="shared" si="39"/>
        <v>1.4712366133382525E-2</v>
      </c>
      <c r="K154" s="55">
        <f t="shared" si="39"/>
        <v>1.4844915865394177E-2</v>
      </c>
      <c r="L154" s="55">
        <f t="shared" si="39"/>
        <v>1.497746559740582E-2</v>
      </c>
      <c r="M154" s="55">
        <f t="shared" si="39"/>
        <v>1.5110015329417465E-2</v>
      </c>
      <c r="N154" s="55">
        <f t="shared" si="39"/>
        <v>1.5071030639223102E-2</v>
      </c>
      <c r="O154" s="55">
        <f t="shared" si="39"/>
        <v>1.5032045949028731E-2</v>
      </c>
      <c r="P154" s="55">
        <f t="shared" si="39"/>
        <v>1.4993061258834366E-2</v>
      </c>
      <c r="Q154" s="55">
        <f t="shared" si="39"/>
        <v>1.4954076568640003E-2</v>
      </c>
      <c r="R154" s="55">
        <f t="shared" si="39"/>
        <v>1.4915091878445632E-2</v>
      </c>
      <c r="S154" s="55">
        <f t="shared" si="39"/>
        <v>1.4876107188251267E-2</v>
      </c>
      <c r="T154" s="55">
        <f t="shared" si="39"/>
        <v>1.4837122498056897E-2</v>
      </c>
      <c r="U154" s="55">
        <f t="shared" si="39"/>
        <v>1.4798137807862528E-2</v>
      </c>
      <c r="V154" s="55">
        <f t="shared" si="39"/>
        <v>1.475915311766816E-2</v>
      </c>
      <c r="W154" s="55">
        <f t="shared" si="39"/>
        <v>1.4720168427473791E-2</v>
      </c>
      <c r="X154" s="55">
        <f t="shared" si="39"/>
        <v>1.4302472554257626E-2</v>
      </c>
      <c r="Y154" s="55">
        <f t="shared" si="39"/>
        <v>1.4264500202147066E-2</v>
      </c>
      <c r="Z154" s="55">
        <f t="shared" si="39"/>
        <v>1.4226527850036506E-2</v>
      </c>
      <c r="AA154" s="55">
        <f t="shared" si="39"/>
        <v>1.4188555497925942E-2</v>
      </c>
      <c r="AB154" s="55">
        <f t="shared" si="39"/>
        <v>1.4150583145815385E-2</v>
      </c>
      <c r="AC154" s="270">
        <f t="shared" si="39"/>
        <v>1.411261079370482E-2</v>
      </c>
      <c r="AD154" s="353">
        <f t="shared" si="29"/>
        <v>0.33718780831104961</v>
      </c>
    </row>
    <row r="155" spans="1:30" s="110" customFormat="1" ht="12">
      <c r="A155" s="58"/>
      <c r="C155" s="49" t="s">
        <v>41</v>
      </c>
      <c r="D155" s="308">
        <f>-'Mode Operating Assumptions'!C175</f>
        <v>-291400</v>
      </c>
      <c r="E155" s="217"/>
      <c r="F155" s="255">
        <f>F154*$D$155</f>
        <v>0</v>
      </c>
      <c r="G155" s="255">
        <f t="shared" ref="G155:AC155" si="40">G154*$D$155</f>
        <v>-4171.3085155430863</v>
      </c>
      <c r="H155" s="255">
        <f t="shared" si="40"/>
        <v>-4209.933507451281</v>
      </c>
      <c r="I155" s="255">
        <f t="shared" si="40"/>
        <v>-4248.5584993594748</v>
      </c>
      <c r="J155" s="255">
        <f t="shared" si="40"/>
        <v>-4287.1834912676677</v>
      </c>
      <c r="K155" s="255">
        <f t="shared" si="40"/>
        <v>-4325.8084831758633</v>
      </c>
      <c r="L155" s="255">
        <f t="shared" si="40"/>
        <v>-4364.4334750840562</v>
      </c>
      <c r="M155" s="255">
        <f t="shared" si="40"/>
        <v>-4403.0584669922491</v>
      </c>
      <c r="N155" s="255">
        <f t="shared" si="40"/>
        <v>-4391.6983282696119</v>
      </c>
      <c r="O155" s="255">
        <f t="shared" si="40"/>
        <v>-4380.338189546972</v>
      </c>
      <c r="P155" s="255">
        <f t="shared" si="40"/>
        <v>-4368.9780508243339</v>
      </c>
      <c r="Q155" s="255">
        <f t="shared" si="40"/>
        <v>-4357.6179121016967</v>
      </c>
      <c r="R155" s="255">
        <f t="shared" si="40"/>
        <v>-4346.2577733790577</v>
      </c>
      <c r="S155" s="255">
        <f t="shared" si="40"/>
        <v>-4334.8976346564186</v>
      </c>
      <c r="T155" s="255">
        <f t="shared" si="40"/>
        <v>-4323.5374959337796</v>
      </c>
      <c r="U155" s="255">
        <f t="shared" si="40"/>
        <v>-4312.1773572111406</v>
      </c>
      <c r="V155" s="255">
        <f t="shared" si="40"/>
        <v>-4300.8172184885016</v>
      </c>
      <c r="W155" s="255">
        <f t="shared" si="40"/>
        <v>-4289.4570797658625</v>
      </c>
      <c r="X155" s="255">
        <f t="shared" si="40"/>
        <v>-4167.7405023106721</v>
      </c>
      <c r="Y155" s="255">
        <f t="shared" si="40"/>
        <v>-4156.6753589056552</v>
      </c>
      <c r="Z155" s="255">
        <f t="shared" si="40"/>
        <v>-4145.6102155006374</v>
      </c>
      <c r="AA155" s="255">
        <f t="shared" si="40"/>
        <v>-4134.5450720956196</v>
      </c>
      <c r="AB155" s="255">
        <f t="shared" si="40"/>
        <v>-4123.4799286906036</v>
      </c>
      <c r="AC155" s="268">
        <f t="shared" si="40"/>
        <v>-4112.4147852855849</v>
      </c>
      <c r="AD155" s="360">
        <f t="shared" si="29"/>
        <v>-98256.527341839828</v>
      </c>
    </row>
    <row r="156" spans="1:30" s="110" customFormat="1" ht="12">
      <c r="A156" s="58"/>
      <c r="C156" s="49"/>
      <c r="D156" s="308"/>
      <c r="E156" s="217"/>
      <c r="F156" s="255"/>
      <c r="G156" s="255"/>
      <c r="H156" s="255"/>
      <c r="I156" s="255"/>
      <c r="J156" s="255"/>
      <c r="K156" s="255"/>
      <c r="L156" s="255"/>
      <c r="M156" s="255"/>
      <c r="N156" s="255"/>
      <c r="O156" s="255"/>
      <c r="P156" s="255"/>
      <c r="Q156" s="255"/>
      <c r="R156" s="255"/>
      <c r="S156" s="255"/>
      <c r="T156" s="255"/>
      <c r="U156" s="255"/>
      <c r="V156" s="255"/>
      <c r="W156" s="255"/>
      <c r="X156" s="255"/>
      <c r="Y156" s="255"/>
      <c r="Z156" s="255"/>
      <c r="AA156" s="255"/>
      <c r="AB156" s="255"/>
      <c r="AC156" s="268"/>
      <c r="AD156" s="360"/>
    </row>
    <row r="157" spans="1:30" s="110" customFormat="1" ht="12">
      <c r="A157" s="58"/>
      <c r="B157" s="445" t="s">
        <v>588</v>
      </c>
      <c r="C157" s="78" t="s">
        <v>586</v>
      </c>
      <c r="D157" s="443">
        <v>-0.15</v>
      </c>
      <c r="E157" s="217"/>
      <c r="F157" s="45"/>
      <c r="G157" s="45"/>
      <c r="H157" s="45"/>
      <c r="I157" s="45"/>
      <c r="J157" s="45"/>
      <c r="K157" s="45"/>
      <c r="L157" s="45"/>
      <c r="M157" s="45"/>
      <c r="N157" s="45"/>
      <c r="O157" s="45"/>
      <c r="P157" s="45"/>
      <c r="Q157" s="45"/>
      <c r="R157" s="45"/>
      <c r="S157" s="45"/>
      <c r="T157" s="45"/>
      <c r="U157" s="45"/>
      <c r="V157" s="45"/>
      <c r="W157" s="45"/>
      <c r="X157" s="45"/>
      <c r="Y157" s="45"/>
      <c r="Z157" s="45"/>
      <c r="AA157" s="45"/>
      <c r="AB157" s="45"/>
      <c r="AC157" s="263"/>
      <c r="AD157" s="337"/>
    </row>
    <row r="158" spans="1:30" s="110" customFormat="1" ht="12">
      <c r="A158" s="58"/>
      <c r="B158" s="58"/>
      <c r="C158" s="78" t="s">
        <v>542</v>
      </c>
      <c r="D158" s="210">
        <f>D152*D$157</f>
        <v>-1.2383319796160529E-8</v>
      </c>
      <c r="E158" s="217"/>
      <c r="F158" s="55">
        <f>$D158*(F$10+F$11+F$12)</f>
        <v>0</v>
      </c>
      <c r="G158" s="55">
        <f t="shared" ref="G158:AC158" si="41">$D158*(G$10+G$11+G$12)</f>
        <v>-1.8315047301021106E-3</v>
      </c>
      <c r="H158" s="55">
        <f t="shared" si="41"/>
        <v>-1.848463882156296E-3</v>
      </c>
      <c r="I158" s="55">
        <f t="shared" si="41"/>
        <v>-1.8654230342104816E-3</v>
      </c>
      <c r="J158" s="55">
        <f t="shared" si="41"/>
        <v>-1.8823821862646664E-3</v>
      </c>
      <c r="K158" s="55">
        <f t="shared" si="41"/>
        <v>-1.899341338318852E-3</v>
      </c>
      <c r="L158" s="55">
        <f t="shared" si="41"/>
        <v>-1.916300490373037E-3</v>
      </c>
      <c r="M158" s="55">
        <f t="shared" si="41"/>
        <v>-1.933259642427222E-3</v>
      </c>
      <c r="N158" s="55">
        <f t="shared" si="41"/>
        <v>-1.9282717237135618E-3</v>
      </c>
      <c r="O158" s="55">
        <f t="shared" si="41"/>
        <v>-1.9232838049999012E-3</v>
      </c>
      <c r="P158" s="55">
        <f t="shared" si="41"/>
        <v>-1.9182958862862403E-3</v>
      </c>
      <c r="Q158" s="55">
        <f t="shared" si="41"/>
        <v>-1.913307967572581E-3</v>
      </c>
      <c r="R158" s="55">
        <f t="shared" si="41"/>
        <v>-1.9083200488589198E-3</v>
      </c>
      <c r="S158" s="55">
        <f t="shared" si="41"/>
        <v>-1.9033321301452591E-3</v>
      </c>
      <c r="T158" s="55">
        <f t="shared" si="41"/>
        <v>-1.8983442114315992E-3</v>
      </c>
      <c r="U158" s="55">
        <f t="shared" si="41"/>
        <v>-1.8933562927179379E-3</v>
      </c>
      <c r="V158" s="55">
        <f t="shared" si="41"/>
        <v>-1.8883683740042771E-3</v>
      </c>
      <c r="W158" s="55">
        <f t="shared" si="41"/>
        <v>-1.8833804552906169E-3</v>
      </c>
      <c r="X158" s="55">
        <f t="shared" si="41"/>
        <v>-1.8299381154324255E-3</v>
      </c>
      <c r="Y158" s="55">
        <f t="shared" si="41"/>
        <v>-1.8250797208998627E-3</v>
      </c>
      <c r="Z158" s="55">
        <f t="shared" si="41"/>
        <v>-1.8202213263672996E-3</v>
      </c>
      <c r="AA158" s="55">
        <f t="shared" si="41"/>
        <v>-1.8153629318347366E-3</v>
      </c>
      <c r="AB158" s="55">
        <f t="shared" si="41"/>
        <v>-1.8105045373021736E-3</v>
      </c>
      <c r="AC158" s="270">
        <f t="shared" si="41"/>
        <v>-1.8056461427696105E-3</v>
      </c>
      <c r="AD158" s="338">
        <f>SUM(F158:AC158)</f>
        <v>-4.3141688973479655E-2</v>
      </c>
    </row>
    <row r="159" spans="1:30" s="110" customFormat="1" ht="12">
      <c r="A159" s="58"/>
      <c r="B159" s="58"/>
      <c r="C159" s="49" t="s">
        <v>40</v>
      </c>
      <c r="D159" s="308">
        <f>D153</f>
        <v>-6200000</v>
      </c>
      <c r="E159" s="217"/>
      <c r="F159" s="315">
        <f>F158*$D159</f>
        <v>0</v>
      </c>
      <c r="G159" s="315">
        <f t="shared" ref="G159:AC159" si="42">G158*$D159</f>
        <v>11355.329326633086</v>
      </c>
      <c r="H159" s="315">
        <f t="shared" si="42"/>
        <v>11460.476069369035</v>
      </c>
      <c r="I159" s="315">
        <f t="shared" si="42"/>
        <v>11565.622812104986</v>
      </c>
      <c r="J159" s="315">
        <f t="shared" si="42"/>
        <v>11670.769554840932</v>
      </c>
      <c r="K159" s="315">
        <f t="shared" si="42"/>
        <v>11775.916297576883</v>
      </c>
      <c r="L159" s="315">
        <f t="shared" si="42"/>
        <v>11881.063040312829</v>
      </c>
      <c r="M159" s="315">
        <f t="shared" si="42"/>
        <v>11986.209783048776</v>
      </c>
      <c r="N159" s="315">
        <f t="shared" si="42"/>
        <v>11955.284687024083</v>
      </c>
      <c r="O159" s="315">
        <f t="shared" si="42"/>
        <v>11924.359590999387</v>
      </c>
      <c r="P159" s="315">
        <f t="shared" si="42"/>
        <v>11893.43449497469</v>
      </c>
      <c r="Q159" s="315">
        <f t="shared" si="42"/>
        <v>11862.509398950002</v>
      </c>
      <c r="R159" s="315">
        <f t="shared" si="42"/>
        <v>11831.584302925303</v>
      </c>
      <c r="S159" s="315">
        <f t="shared" si="42"/>
        <v>11800.659206900607</v>
      </c>
      <c r="T159" s="315">
        <f t="shared" si="42"/>
        <v>11769.734110875916</v>
      </c>
      <c r="U159" s="315">
        <f t="shared" si="42"/>
        <v>11738.809014851215</v>
      </c>
      <c r="V159" s="315">
        <f t="shared" si="42"/>
        <v>11707.883918826517</v>
      </c>
      <c r="W159" s="315">
        <f t="shared" si="42"/>
        <v>11676.958822801824</v>
      </c>
      <c r="X159" s="315">
        <f t="shared" si="42"/>
        <v>11345.616315681038</v>
      </c>
      <c r="Y159" s="315">
        <f t="shared" si="42"/>
        <v>11315.494269579149</v>
      </c>
      <c r="Z159" s="315">
        <f t="shared" si="42"/>
        <v>11285.372223477258</v>
      </c>
      <c r="AA159" s="315">
        <f t="shared" si="42"/>
        <v>11255.250177375367</v>
      </c>
      <c r="AB159" s="315">
        <f t="shared" si="42"/>
        <v>11225.128131273475</v>
      </c>
      <c r="AC159" s="390">
        <f t="shared" si="42"/>
        <v>11195.006085171586</v>
      </c>
      <c r="AD159" s="359">
        <f>SUM(F159:AC159)</f>
        <v>267478.47163557395</v>
      </c>
    </row>
    <row r="160" spans="1:30" s="110" customFormat="1" ht="12">
      <c r="A160" s="58"/>
      <c r="B160" s="58"/>
      <c r="C160" s="78" t="s">
        <v>543</v>
      </c>
      <c r="D160" s="210">
        <f>D154*D$157</f>
        <v>-3.7746476292504623E-7</v>
      </c>
      <c r="E160" s="217"/>
      <c r="F160" s="55">
        <f>$D160*(F$10+F$11+F$12)</f>
        <v>0</v>
      </c>
      <c r="G160" s="55">
        <f t="shared" ref="G160:AC160" si="43">$D160*(G$10+G$11+G$12)</f>
        <v>-5.5827396055655579E-2</v>
      </c>
      <c r="H160" s="55">
        <f t="shared" si="43"/>
        <v>-5.6344340010501003E-2</v>
      </c>
      <c r="I160" s="55">
        <f t="shared" si="43"/>
        <v>-5.686128396534644E-2</v>
      </c>
      <c r="J160" s="55">
        <f t="shared" si="43"/>
        <v>-5.737822792019185E-2</v>
      </c>
      <c r="K160" s="55">
        <f t="shared" si="43"/>
        <v>-5.7895171875037288E-2</v>
      </c>
      <c r="L160" s="55">
        <f t="shared" si="43"/>
        <v>-5.8412115829882698E-2</v>
      </c>
      <c r="M160" s="55">
        <f t="shared" si="43"/>
        <v>-5.8929059784728115E-2</v>
      </c>
      <c r="N160" s="55">
        <f t="shared" si="43"/>
        <v>-5.8777019492970088E-2</v>
      </c>
      <c r="O160" s="55">
        <f t="shared" si="43"/>
        <v>-5.8624979201212062E-2</v>
      </c>
      <c r="P160" s="55">
        <f t="shared" si="43"/>
        <v>-5.8472938909454014E-2</v>
      </c>
      <c r="Q160" s="55">
        <f t="shared" si="43"/>
        <v>-5.8320898617696015E-2</v>
      </c>
      <c r="R160" s="55">
        <f t="shared" si="43"/>
        <v>-5.8168858325937961E-2</v>
      </c>
      <c r="S160" s="55">
        <f t="shared" si="43"/>
        <v>-5.8016818034179927E-2</v>
      </c>
      <c r="T160" s="55">
        <f t="shared" si="43"/>
        <v>-5.7864777742421908E-2</v>
      </c>
      <c r="U160" s="55">
        <f t="shared" si="43"/>
        <v>-5.7712737450663854E-2</v>
      </c>
      <c r="V160" s="55">
        <f t="shared" si="43"/>
        <v>-5.7560697158905813E-2</v>
      </c>
      <c r="W160" s="55">
        <f t="shared" si="43"/>
        <v>-5.7408656867147786E-2</v>
      </c>
      <c r="X160" s="55">
        <f t="shared" si="43"/>
        <v>-5.5779642961604745E-2</v>
      </c>
      <c r="Y160" s="55">
        <f t="shared" si="43"/>
        <v>-5.5631550788373556E-2</v>
      </c>
      <c r="Z160" s="55">
        <f t="shared" si="43"/>
        <v>-5.5483458615142374E-2</v>
      </c>
      <c r="AA160" s="55">
        <f t="shared" si="43"/>
        <v>-5.5335366441911178E-2</v>
      </c>
      <c r="AB160" s="55">
        <f t="shared" si="43"/>
        <v>-5.5187274268679989E-2</v>
      </c>
      <c r="AC160" s="270">
        <f t="shared" si="43"/>
        <v>-5.5039182095448794E-2</v>
      </c>
      <c r="AD160" s="338">
        <f>SUM(F160:AC160)</f>
        <v>-1.3150324524130932</v>
      </c>
    </row>
    <row r="161" spans="1:30" s="110" customFormat="1" ht="12">
      <c r="A161" s="58"/>
      <c r="C161" s="49" t="s">
        <v>41</v>
      </c>
      <c r="D161" s="308">
        <f>D155</f>
        <v>-291400</v>
      </c>
      <c r="E161" s="217"/>
      <c r="F161" s="315">
        <f>F160*$D161</f>
        <v>0</v>
      </c>
      <c r="G161" s="315">
        <f t="shared" ref="G161:AC161" si="44">G160*$D161</f>
        <v>16268.103210618036</v>
      </c>
      <c r="H161" s="315">
        <f t="shared" si="44"/>
        <v>16418.740679059993</v>
      </c>
      <c r="I161" s="315">
        <f t="shared" si="44"/>
        <v>16569.378147501953</v>
      </c>
      <c r="J161" s="315">
        <f t="shared" si="44"/>
        <v>16720.015615943907</v>
      </c>
      <c r="K161" s="315">
        <f t="shared" si="44"/>
        <v>16870.653084385867</v>
      </c>
      <c r="L161" s="315">
        <f t="shared" si="44"/>
        <v>17021.290552827817</v>
      </c>
      <c r="M161" s="315">
        <f t="shared" si="44"/>
        <v>17171.928021269774</v>
      </c>
      <c r="N161" s="315">
        <f t="shared" si="44"/>
        <v>17127.623480251485</v>
      </c>
      <c r="O161" s="315">
        <f t="shared" si="44"/>
        <v>17083.318939233195</v>
      </c>
      <c r="P161" s="315">
        <f t="shared" si="44"/>
        <v>17039.014398214898</v>
      </c>
      <c r="Q161" s="315">
        <f t="shared" si="44"/>
        <v>16994.70985719662</v>
      </c>
      <c r="R161" s="315">
        <f t="shared" si="44"/>
        <v>16950.405316178323</v>
      </c>
      <c r="S161" s="315">
        <f t="shared" si="44"/>
        <v>16906.10077516003</v>
      </c>
      <c r="T161" s="315">
        <f t="shared" si="44"/>
        <v>16861.796234141744</v>
      </c>
      <c r="U161" s="315">
        <f t="shared" si="44"/>
        <v>16817.491693123447</v>
      </c>
      <c r="V161" s="315">
        <f t="shared" si="44"/>
        <v>16773.187152105154</v>
      </c>
      <c r="W161" s="315">
        <f t="shared" si="44"/>
        <v>16728.882611086865</v>
      </c>
      <c r="X161" s="315">
        <f t="shared" si="44"/>
        <v>16254.187959011622</v>
      </c>
      <c r="Y161" s="315">
        <f t="shared" si="44"/>
        <v>16211.033899732054</v>
      </c>
      <c r="Z161" s="315">
        <f t="shared" si="44"/>
        <v>16167.879840452488</v>
      </c>
      <c r="AA161" s="315">
        <f t="shared" si="44"/>
        <v>16124.725781172918</v>
      </c>
      <c r="AB161" s="315">
        <f t="shared" si="44"/>
        <v>16081.57172189335</v>
      </c>
      <c r="AC161" s="390">
        <f t="shared" si="44"/>
        <v>16038.417662613778</v>
      </c>
      <c r="AD161" s="359">
        <f>SUM(F161:AC161)</f>
        <v>383200.45663317543</v>
      </c>
    </row>
    <row r="162" spans="1:30" s="110" customFormat="1" ht="12">
      <c r="A162" s="58"/>
      <c r="C162" s="49"/>
      <c r="D162" s="308"/>
      <c r="E162" s="217"/>
      <c r="F162" s="315"/>
      <c r="G162" s="315"/>
      <c r="H162" s="315"/>
      <c r="I162" s="315"/>
      <c r="J162" s="315"/>
      <c r="K162" s="315"/>
      <c r="L162" s="315"/>
      <c r="M162" s="315"/>
      <c r="N162" s="315"/>
      <c r="O162" s="315"/>
      <c r="P162" s="315"/>
      <c r="Q162" s="315"/>
      <c r="R162" s="315"/>
      <c r="S162" s="315"/>
      <c r="T162" s="315"/>
      <c r="U162" s="315"/>
      <c r="V162" s="315"/>
      <c r="W162" s="315"/>
      <c r="X162" s="315"/>
      <c r="Y162" s="315"/>
      <c r="Z162" s="315"/>
      <c r="AA162" s="315"/>
      <c r="AB162" s="315"/>
      <c r="AC162" s="390"/>
      <c r="AD162" s="359"/>
    </row>
    <row r="163" spans="1:30" s="110" customFormat="1" ht="12">
      <c r="A163" s="58"/>
      <c r="B163" s="58" t="s">
        <v>222</v>
      </c>
      <c r="D163" s="210"/>
      <c r="E163" s="217"/>
      <c r="AC163" s="262"/>
      <c r="AD163" s="337"/>
    </row>
    <row r="164" spans="1:30" s="110" customFormat="1" ht="12">
      <c r="A164" s="58"/>
      <c r="B164" s="444" t="s">
        <v>587</v>
      </c>
      <c r="C164" s="78" t="s">
        <v>518</v>
      </c>
      <c r="D164" s="210"/>
      <c r="E164" s="217"/>
      <c r="F164" s="55"/>
      <c r="G164" s="55"/>
      <c r="H164" s="55"/>
      <c r="I164" s="55"/>
      <c r="J164" s="55"/>
      <c r="K164" s="55"/>
      <c r="L164" s="55"/>
      <c r="M164" s="55"/>
      <c r="N164" s="55"/>
      <c r="O164" s="55"/>
      <c r="P164" s="55"/>
      <c r="Q164" s="55"/>
      <c r="R164" s="55"/>
      <c r="S164" s="55"/>
      <c r="T164" s="55"/>
      <c r="U164" s="55"/>
      <c r="V164" s="55"/>
      <c r="W164" s="55"/>
      <c r="X164" s="55"/>
      <c r="Y164" s="55"/>
      <c r="Z164" s="55"/>
      <c r="AA164" s="55"/>
      <c r="AB164" s="55"/>
      <c r="AC164" s="270"/>
      <c r="AD164" s="353"/>
    </row>
    <row r="165" spans="1:30" s="110" customFormat="1" ht="12">
      <c r="A165" s="58"/>
      <c r="C165" s="78" t="s">
        <v>542</v>
      </c>
      <c r="D165" s="210">
        <f>'Mode Operating Assumptions'!$D$195</f>
        <v>1.8722590666405648E-7</v>
      </c>
      <c r="E165" s="217"/>
      <c r="F165" s="55">
        <f t="shared" ref="F165:AC165" si="45">$D$165*(F$16+F$17)</f>
        <v>0</v>
      </c>
      <c r="G165" s="55">
        <f t="shared" si="45"/>
        <v>2.0171383134439275E-5</v>
      </c>
      <c r="H165" s="55">
        <f t="shared" si="45"/>
        <v>2.0358163735164838E-5</v>
      </c>
      <c r="I165" s="55">
        <f t="shared" si="45"/>
        <v>2.0544944335890401E-5</v>
      </c>
      <c r="J165" s="55">
        <f t="shared" si="45"/>
        <v>2.0731724936615967E-5</v>
      </c>
      <c r="K165" s="55">
        <f t="shared" si="45"/>
        <v>2.0918505537341527E-5</v>
      </c>
      <c r="L165" s="55">
        <f t="shared" si="45"/>
        <v>2.1105286138067093E-5</v>
      </c>
      <c r="M165" s="55">
        <f t="shared" si="45"/>
        <v>2.1292066738792653E-5</v>
      </c>
      <c r="N165" s="55">
        <f t="shared" si="45"/>
        <v>2.1237132007932817E-5</v>
      </c>
      <c r="O165" s="55">
        <f t="shared" si="45"/>
        <v>2.1182197277072971E-5</v>
      </c>
      <c r="P165" s="55">
        <f t="shared" si="45"/>
        <v>2.1127262546213133E-5</v>
      </c>
      <c r="Q165" s="55">
        <f t="shared" si="45"/>
        <v>2.1072327815353294E-5</v>
      </c>
      <c r="R165" s="55">
        <f t="shared" si="45"/>
        <v>2.1017393084493451E-5</v>
      </c>
      <c r="S165" s="55">
        <f t="shared" si="45"/>
        <v>2.0962458353633612E-5</v>
      </c>
      <c r="T165" s="55">
        <f t="shared" si="45"/>
        <v>2.0907523622773774E-5</v>
      </c>
      <c r="U165" s="55">
        <f t="shared" si="45"/>
        <v>2.0852588891913924E-5</v>
      </c>
      <c r="V165" s="55">
        <f t="shared" si="45"/>
        <v>2.0797654161054079E-5</v>
      </c>
      <c r="W165" s="55">
        <f t="shared" si="45"/>
        <v>2.074271943019424E-5</v>
      </c>
      <c r="X165" s="55">
        <f t="shared" si="45"/>
        <v>2.0154129133285537E-5</v>
      </c>
      <c r="Y165" s="55">
        <f t="shared" si="45"/>
        <v>2.0100620924475655E-5</v>
      </c>
      <c r="Z165" s="55">
        <f t="shared" si="45"/>
        <v>2.0047112715665773E-5</v>
      </c>
      <c r="AA165" s="55">
        <f t="shared" si="45"/>
        <v>1.9993604506855892E-5</v>
      </c>
      <c r="AB165" s="55">
        <f t="shared" si="45"/>
        <v>1.994009629804601E-5</v>
      </c>
      <c r="AC165" s="270">
        <f t="shared" si="45"/>
        <v>1.9886588089236121E-5</v>
      </c>
      <c r="AD165" s="353">
        <f t="shared" si="29"/>
        <v>4.7514348341451206E-4</v>
      </c>
    </row>
    <row r="166" spans="1:30" s="110" customFormat="1" ht="12">
      <c r="A166" s="58"/>
      <c r="C166" s="49" t="s">
        <v>40</v>
      </c>
      <c r="D166" s="308">
        <f>D153</f>
        <v>-6200000</v>
      </c>
      <c r="E166" s="217"/>
      <c r="F166" s="255">
        <f>F165*$D$166</f>
        <v>0</v>
      </c>
      <c r="G166" s="255">
        <f t="shared" ref="G166:AC166" si="46">G165*$D$166</f>
        <v>-125.06257543352351</v>
      </c>
      <c r="H166" s="255">
        <f t="shared" si="46"/>
        <v>-126.220615158022</v>
      </c>
      <c r="I166" s="255">
        <f t="shared" si="46"/>
        <v>-127.37865488252049</v>
      </c>
      <c r="J166" s="255">
        <f t="shared" si="46"/>
        <v>-128.536694607019</v>
      </c>
      <c r="K166" s="255">
        <f t="shared" si="46"/>
        <v>-129.69473433151748</v>
      </c>
      <c r="L166" s="255">
        <f t="shared" si="46"/>
        <v>-130.85277405601599</v>
      </c>
      <c r="M166" s="255">
        <f t="shared" si="46"/>
        <v>-132.01081378051444</v>
      </c>
      <c r="N166" s="255">
        <f t="shared" si="46"/>
        <v>-131.67021844918347</v>
      </c>
      <c r="O166" s="255">
        <f t="shared" si="46"/>
        <v>-131.32962311785244</v>
      </c>
      <c r="P166" s="255">
        <f t="shared" si="46"/>
        <v>-130.98902778652143</v>
      </c>
      <c r="Q166" s="255">
        <f t="shared" si="46"/>
        <v>-130.64843245519043</v>
      </c>
      <c r="R166" s="255">
        <f t="shared" si="46"/>
        <v>-130.3078371238594</v>
      </c>
      <c r="S166" s="255">
        <f t="shared" si="46"/>
        <v>-129.9672417925284</v>
      </c>
      <c r="T166" s="255">
        <f t="shared" si="46"/>
        <v>-129.6266464611974</v>
      </c>
      <c r="U166" s="255">
        <f t="shared" si="46"/>
        <v>-129.28605112986634</v>
      </c>
      <c r="V166" s="255">
        <f t="shared" si="46"/>
        <v>-128.94545579853528</v>
      </c>
      <c r="W166" s="255">
        <f t="shared" si="46"/>
        <v>-128.60486046720428</v>
      </c>
      <c r="X166" s="255">
        <f t="shared" si="46"/>
        <v>-124.95560062637033</v>
      </c>
      <c r="Y166" s="255">
        <f t="shared" si="46"/>
        <v>-124.62384973174906</v>
      </c>
      <c r="Z166" s="255">
        <f t="shared" si="46"/>
        <v>-124.2920988371278</v>
      </c>
      <c r="AA166" s="255">
        <f t="shared" si="46"/>
        <v>-123.96034794250653</v>
      </c>
      <c r="AB166" s="255">
        <f t="shared" si="46"/>
        <v>-123.62859704788526</v>
      </c>
      <c r="AC166" s="268">
        <f t="shared" si="46"/>
        <v>-123.29684615326396</v>
      </c>
      <c r="AD166" s="346">
        <f t="shared" si="29"/>
        <v>-2945.8895971699744</v>
      </c>
    </row>
    <row r="167" spans="1:30" s="110" customFormat="1" ht="12">
      <c r="A167" s="58"/>
      <c r="C167" s="78" t="s">
        <v>543</v>
      </c>
      <c r="D167" s="210">
        <f>'Mode Operating Assumptions'!$D$196</f>
        <v>8.7375046258002826E-6</v>
      </c>
      <c r="E167" s="217"/>
      <c r="F167" s="55">
        <f t="shared" ref="F167:AC167" si="47">$D$167*(F$16+F$17)</f>
        <v>0</v>
      </c>
      <c r="G167" s="55">
        <f t="shared" si="47"/>
        <v>9.4136306554091251E-4</v>
      </c>
      <c r="H167" s="55">
        <f t="shared" si="47"/>
        <v>9.5007978851973458E-4</v>
      </c>
      <c r="I167" s="55">
        <f t="shared" si="47"/>
        <v>9.5879651149855655E-4</v>
      </c>
      <c r="J167" s="55">
        <f t="shared" si="47"/>
        <v>9.6751323447737852E-4</v>
      </c>
      <c r="K167" s="55">
        <f t="shared" si="47"/>
        <v>9.7622995745620049E-4</v>
      </c>
      <c r="L167" s="55">
        <f t="shared" si="47"/>
        <v>9.8494668043502256E-4</v>
      </c>
      <c r="M167" s="55">
        <f t="shared" si="47"/>
        <v>9.9366340341384453E-4</v>
      </c>
      <c r="N167" s="55">
        <f t="shared" si="47"/>
        <v>9.9109969589303553E-4</v>
      </c>
      <c r="O167" s="55">
        <f t="shared" si="47"/>
        <v>9.885359883722261E-4</v>
      </c>
      <c r="P167" s="55">
        <f t="shared" si="47"/>
        <v>9.859722808514171E-4</v>
      </c>
      <c r="Q167" s="55">
        <f t="shared" si="47"/>
        <v>9.834085733306081E-4</v>
      </c>
      <c r="R167" s="55">
        <f t="shared" si="47"/>
        <v>9.8084486580979889E-4</v>
      </c>
      <c r="S167" s="55">
        <f t="shared" si="47"/>
        <v>9.7828115828898989E-4</v>
      </c>
      <c r="T167" s="55">
        <f t="shared" si="47"/>
        <v>9.7571745076818067E-4</v>
      </c>
      <c r="U167" s="55">
        <f t="shared" si="47"/>
        <v>9.7315374324737113E-4</v>
      </c>
      <c r="V167" s="55">
        <f t="shared" si="47"/>
        <v>9.7059003572656192E-4</v>
      </c>
      <c r="W167" s="55">
        <f t="shared" si="47"/>
        <v>9.680263282057527E-4</v>
      </c>
      <c r="X167" s="55">
        <f t="shared" si="47"/>
        <v>9.405578515746377E-4</v>
      </c>
      <c r="Y167" s="55">
        <f t="shared" si="47"/>
        <v>9.3806071733544549E-4</v>
      </c>
      <c r="Z167" s="55">
        <f t="shared" si="47"/>
        <v>9.3556358309625318E-4</v>
      </c>
      <c r="AA167" s="55">
        <f t="shared" si="47"/>
        <v>9.3306644885706098E-4</v>
      </c>
      <c r="AB167" s="55">
        <f t="shared" si="47"/>
        <v>9.3056931461786877E-4</v>
      </c>
      <c r="AC167" s="270">
        <f t="shared" si="47"/>
        <v>9.2807218037867624E-4</v>
      </c>
      <c r="AD167" s="353">
        <f t="shared" si="29"/>
        <v>2.2174112857695535E-2</v>
      </c>
    </row>
    <row r="168" spans="1:30" s="110" customFormat="1" ht="12">
      <c r="A168" s="58"/>
      <c r="C168" s="49" t="s">
        <v>41</v>
      </c>
      <c r="D168" s="308">
        <f>D155</f>
        <v>-291400</v>
      </c>
      <c r="E168" s="217"/>
      <c r="F168" s="255">
        <f>F167*$D$168</f>
        <v>0</v>
      </c>
      <c r="G168" s="255">
        <f t="shared" ref="G168:AC168" si="48">G167*$D$168</f>
        <v>-274.3131972986219</v>
      </c>
      <c r="H168" s="255">
        <f t="shared" si="48"/>
        <v>-276.85325037465066</v>
      </c>
      <c r="I168" s="255">
        <f t="shared" si="48"/>
        <v>-279.39330345067935</v>
      </c>
      <c r="J168" s="255">
        <f t="shared" si="48"/>
        <v>-281.93335652670811</v>
      </c>
      <c r="K168" s="255">
        <f t="shared" si="48"/>
        <v>-284.47340960273681</v>
      </c>
      <c r="L168" s="255">
        <f t="shared" si="48"/>
        <v>-287.01346267876556</v>
      </c>
      <c r="M168" s="255">
        <f t="shared" si="48"/>
        <v>-289.55351575479432</v>
      </c>
      <c r="N168" s="255">
        <f t="shared" si="48"/>
        <v>-288.80645138323058</v>
      </c>
      <c r="O168" s="255">
        <f t="shared" si="48"/>
        <v>-288.05938701166667</v>
      </c>
      <c r="P168" s="255">
        <f t="shared" si="48"/>
        <v>-287.31232264010293</v>
      </c>
      <c r="Q168" s="255">
        <f t="shared" si="48"/>
        <v>-286.5652582685392</v>
      </c>
      <c r="R168" s="255">
        <f t="shared" si="48"/>
        <v>-285.8181938969754</v>
      </c>
      <c r="S168" s="255">
        <f t="shared" si="48"/>
        <v>-285.07112952541166</v>
      </c>
      <c r="T168" s="255">
        <f t="shared" si="48"/>
        <v>-284.32406515384787</v>
      </c>
      <c r="U168" s="255">
        <f t="shared" si="48"/>
        <v>-283.57700078228396</v>
      </c>
      <c r="V168" s="255">
        <f t="shared" si="48"/>
        <v>-282.82993641072017</v>
      </c>
      <c r="W168" s="255">
        <f t="shared" si="48"/>
        <v>-282.08287203915631</v>
      </c>
      <c r="X168" s="255">
        <f t="shared" si="48"/>
        <v>-274.07855794884944</v>
      </c>
      <c r="Y168" s="255">
        <f t="shared" si="48"/>
        <v>-273.35089303154882</v>
      </c>
      <c r="Z168" s="255">
        <f t="shared" si="48"/>
        <v>-272.62322811424815</v>
      </c>
      <c r="AA168" s="255">
        <f t="shared" si="48"/>
        <v>-271.89556319694759</v>
      </c>
      <c r="AB168" s="255">
        <f t="shared" si="48"/>
        <v>-271.16789827964698</v>
      </c>
      <c r="AC168" s="268">
        <f t="shared" si="48"/>
        <v>-270.44023336234625</v>
      </c>
      <c r="AD168" s="346">
        <f t="shared" si="29"/>
        <v>-6461.5364867324797</v>
      </c>
    </row>
    <row r="169" spans="1:30" s="110" customFormat="1" ht="12">
      <c r="A169" s="58"/>
      <c r="C169" s="49"/>
      <c r="D169" s="308"/>
      <c r="E169" s="217"/>
      <c r="F169" s="255"/>
      <c r="G169" s="255"/>
      <c r="H169" s="255"/>
      <c r="I169" s="255"/>
      <c r="J169" s="255"/>
      <c r="K169" s="255"/>
      <c r="L169" s="255"/>
      <c r="M169" s="255"/>
      <c r="N169" s="255"/>
      <c r="O169" s="255"/>
      <c r="P169" s="255"/>
      <c r="Q169" s="255"/>
      <c r="R169" s="255"/>
      <c r="S169" s="255"/>
      <c r="T169" s="255"/>
      <c r="U169" s="255"/>
      <c r="V169" s="255"/>
      <c r="W169" s="255"/>
      <c r="X169" s="255"/>
      <c r="Y169" s="255"/>
      <c r="Z169" s="255"/>
      <c r="AA169" s="255"/>
      <c r="AB169" s="255"/>
      <c r="AC169" s="268"/>
      <c r="AD169" s="346"/>
    </row>
    <row r="170" spans="1:30" s="110" customFormat="1" ht="12">
      <c r="A170" s="58"/>
      <c r="B170" s="445" t="s">
        <v>588</v>
      </c>
      <c r="C170" s="78" t="s">
        <v>586</v>
      </c>
      <c r="D170" s="443">
        <v>-0.15</v>
      </c>
      <c r="E170" s="217"/>
      <c r="F170" s="45"/>
      <c r="G170" s="45"/>
      <c r="H170" s="45"/>
      <c r="I170" s="45"/>
      <c r="J170" s="45"/>
      <c r="K170" s="45"/>
      <c r="L170" s="45"/>
      <c r="M170" s="45"/>
      <c r="N170" s="45"/>
      <c r="O170" s="45"/>
      <c r="P170" s="45"/>
      <c r="Q170" s="45"/>
      <c r="R170" s="45"/>
      <c r="S170" s="45"/>
      <c r="T170" s="45"/>
      <c r="U170" s="45"/>
      <c r="V170" s="45"/>
      <c r="W170" s="45"/>
      <c r="X170" s="45"/>
      <c r="Y170" s="45"/>
      <c r="Z170" s="45"/>
      <c r="AA170" s="45"/>
      <c r="AB170" s="45"/>
      <c r="AC170" s="263"/>
      <c r="AD170" s="337"/>
    </row>
    <row r="171" spans="1:30" s="110" customFormat="1" ht="12">
      <c r="A171" s="58"/>
      <c r="C171" s="78" t="s">
        <v>542</v>
      </c>
      <c r="D171" s="210">
        <f>D165*D$170</f>
        <v>-2.8083885999608471E-8</v>
      </c>
      <c r="E171" s="217"/>
      <c r="F171" s="55">
        <f>$D171*(F$15+F$16+F$17)</f>
        <v>0</v>
      </c>
      <c r="G171" s="55">
        <f t="shared" ref="G171:AC171" si="49">$D171*(G$15+G$16+G$17)</f>
        <v>-7.866839422431316E-5</v>
      </c>
      <c r="H171" s="55">
        <f t="shared" si="49"/>
        <v>-7.9396838567142872E-5</v>
      </c>
      <c r="I171" s="55">
        <f t="shared" si="49"/>
        <v>-8.0125282909972572E-5</v>
      </c>
      <c r="J171" s="55">
        <f t="shared" si="49"/>
        <v>-8.0853727252802257E-5</v>
      </c>
      <c r="K171" s="55">
        <f t="shared" si="49"/>
        <v>-8.1582171595631943E-5</v>
      </c>
      <c r="L171" s="55">
        <f t="shared" si="49"/>
        <v>-8.2310615938461655E-5</v>
      </c>
      <c r="M171" s="55">
        <f t="shared" si="49"/>
        <v>-8.3039060281291354E-5</v>
      </c>
      <c r="N171" s="55">
        <f t="shared" si="49"/>
        <v>-8.2824814830937985E-5</v>
      </c>
      <c r="O171" s="55">
        <f t="shared" si="49"/>
        <v>-8.2610569380584602E-5</v>
      </c>
      <c r="P171" s="55">
        <f t="shared" si="49"/>
        <v>-8.2396323930231205E-5</v>
      </c>
      <c r="Q171" s="55">
        <f t="shared" si="49"/>
        <v>-8.2182078479877836E-5</v>
      </c>
      <c r="R171" s="55">
        <f t="shared" si="49"/>
        <v>-8.196783302952444E-5</v>
      </c>
      <c r="S171" s="55">
        <f t="shared" si="49"/>
        <v>-8.175358757917107E-5</v>
      </c>
      <c r="T171" s="55">
        <f t="shared" si="49"/>
        <v>-8.1539342128817687E-5</v>
      </c>
      <c r="U171" s="55">
        <f t="shared" si="49"/>
        <v>-8.1325096678464291E-5</v>
      </c>
      <c r="V171" s="55">
        <f t="shared" si="49"/>
        <v>-8.1110851228110908E-5</v>
      </c>
      <c r="W171" s="55">
        <f t="shared" si="49"/>
        <v>-8.0896605777757525E-5</v>
      </c>
      <c r="X171" s="55">
        <f t="shared" si="49"/>
        <v>-7.8601103619813591E-5</v>
      </c>
      <c r="Y171" s="55">
        <f t="shared" si="49"/>
        <v>-7.8392421605455033E-5</v>
      </c>
      <c r="Z171" s="55">
        <f t="shared" si="49"/>
        <v>-7.8183739591096516E-5</v>
      </c>
      <c r="AA171" s="55">
        <f t="shared" si="49"/>
        <v>-7.7975057576737958E-5</v>
      </c>
      <c r="AB171" s="55">
        <f t="shared" si="49"/>
        <v>-7.7766375562379427E-5</v>
      </c>
      <c r="AC171" s="270">
        <f t="shared" si="49"/>
        <v>-7.7557693548020869E-5</v>
      </c>
      <c r="AD171" s="338">
        <f>SUM(F171:AC171)</f>
        <v>-1.8530595853165971E-3</v>
      </c>
    </row>
    <row r="172" spans="1:30" s="110" customFormat="1" ht="12">
      <c r="A172" s="58"/>
      <c r="B172" s="58"/>
      <c r="C172" s="49" t="s">
        <v>40</v>
      </c>
      <c r="D172" s="308">
        <f>D166</f>
        <v>-6200000</v>
      </c>
      <c r="E172" s="217"/>
      <c r="F172" s="315">
        <f>F171*$D$172</f>
        <v>0</v>
      </c>
      <c r="G172" s="315">
        <f t="shared" ref="G172:AC172" si="50">G171*$D$172</f>
        <v>487.74404419074159</v>
      </c>
      <c r="H172" s="315">
        <f t="shared" si="50"/>
        <v>492.26039911628578</v>
      </c>
      <c r="I172" s="315">
        <f t="shared" si="50"/>
        <v>496.77675404182992</v>
      </c>
      <c r="J172" s="315">
        <f t="shared" si="50"/>
        <v>501.293108967374</v>
      </c>
      <c r="K172" s="315">
        <f t="shared" si="50"/>
        <v>505.80946389291802</v>
      </c>
      <c r="L172" s="315">
        <f t="shared" si="50"/>
        <v>510.32581881846227</v>
      </c>
      <c r="M172" s="315">
        <f t="shared" si="50"/>
        <v>514.84217374400635</v>
      </c>
      <c r="N172" s="315">
        <f t="shared" si="50"/>
        <v>513.51385195181547</v>
      </c>
      <c r="O172" s="315">
        <f t="shared" si="50"/>
        <v>512.18553015962448</v>
      </c>
      <c r="P172" s="315">
        <f t="shared" si="50"/>
        <v>510.85720836743349</v>
      </c>
      <c r="Q172" s="315">
        <f t="shared" si="50"/>
        <v>509.52888657524261</v>
      </c>
      <c r="R172" s="315">
        <f t="shared" si="50"/>
        <v>508.2005647830515</v>
      </c>
      <c r="S172" s="315">
        <f t="shared" si="50"/>
        <v>506.87224299086063</v>
      </c>
      <c r="T172" s="315">
        <f t="shared" si="50"/>
        <v>505.54392119866964</v>
      </c>
      <c r="U172" s="315">
        <f t="shared" si="50"/>
        <v>504.21559940647859</v>
      </c>
      <c r="V172" s="315">
        <f t="shared" si="50"/>
        <v>502.88727761428765</v>
      </c>
      <c r="W172" s="315">
        <f t="shared" si="50"/>
        <v>501.55895582209666</v>
      </c>
      <c r="X172" s="315">
        <f t="shared" si="50"/>
        <v>487.32684244284428</v>
      </c>
      <c r="Y172" s="315">
        <f t="shared" si="50"/>
        <v>486.03301395382118</v>
      </c>
      <c r="Z172" s="315">
        <f t="shared" si="50"/>
        <v>484.73918546479842</v>
      </c>
      <c r="AA172" s="315">
        <f t="shared" si="50"/>
        <v>483.44535697577533</v>
      </c>
      <c r="AB172" s="315">
        <f t="shared" si="50"/>
        <v>482.15152848675245</v>
      </c>
      <c r="AC172" s="390">
        <f t="shared" si="50"/>
        <v>480.85769999772941</v>
      </c>
      <c r="AD172" s="359">
        <f>SUM(F172:AC172)</f>
        <v>11488.969428962899</v>
      </c>
    </row>
    <row r="173" spans="1:30" s="110" customFormat="1" ht="12">
      <c r="A173" s="58"/>
      <c r="B173" s="58"/>
      <c r="C173" s="78" t="s">
        <v>543</v>
      </c>
      <c r="D173" s="210">
        <f>D167*D$170</f>
        <v>-1.3106256938700423E-6</v>
      </c>
      <c r="E173" s="217"/>
      <c r="F173" s="55">
        <f>$D173*(F$15+F$16+F$17)</f>
        <v>0</v>
      </c>
      <c r="G173" s="55">
        <f t="shared" ref="G173:AC173" si="51">$D173*(G$15+G$16+G$17)</f>
        <v>-3.6713159556095581E-3</v>
      </c>
      <c r="H173" s="55">
        <f t="shared" si="51"/>
        <v>-3.7053111752269646E-3</v>
      </c>
      <c r="I173" s="55">
        <f t="shared" si="51"/>
        <v>-3.7393063948443703E-3</v>
      </c>
      <c r="J173" s="55">
        <f t="shared" si="51"/>
        <v>-3.7733016144617755E-3</v>
      </c>
      <c r="K173" s="55">
        <f t="shared" si="51"/>
        <v>-3.8072968340791815E-3</v>
      </c>
      <c r="L173" s="55">
        <f t="shared" si="51"/>
        <v>-3.841292053696588E-3</v>
      </c>
      <c r="M173" s="55">
        <f t="shared" si="51"/>
        <v>-3.8752872733139937E-3</v>
      </c>
      <c r="N173" s="55">
        <f t="shared" si="51"/>
        <v>-3.8652888139828383E-3</v>
      </c>
      <c r="O173" s="55">
        <f t="shared" si="51"/>
        <v>-3.8552903546516825E-3</v>
      </c>
      <c r="P173" s="55">
        <f t="shared" si="51"/>
        <v>-3.8452918953205263E-3</v>
      </c>
      <c r="Q173" s="55">
        <f t="shared" si="51"/>
        <v>-3.8352934359893709E-3</v>
      </c>
      <c r="R173" s="55">
        <f t="shared" si="51"/>
        <v>-3.8252949766582147E-3</v>
      </c>
      <c r="S173" s="55">
        <f t="shared" si="51"/>
        <v>-3.8152965173270594E-3</v>
      </c>
      <c r="T173" s="55">
        <f t="shared" si="51"/>
        <v>-3.8052980579959036E-3</v>
      </c>
      <c r="U173" s="55">
        <f t="shared" si="51"/>
        <v>-3.7952995986647465E-3</v>
      </c>
      <c r="V173" s="55">
        <f t="shared" si="51"/>
        <v>-3.7853011393335907E-3</v>
      </c>
      <c r="W173" s="55">
        <f t="shared" si="51"/>
        <v>-3.7753026800024349E-3</v>
      </c>
      <c r="X173" s="55">
        <f t="shared" si="51"/>
        <v>-3.668175621141087E-3</v>
      </c>
      <c r="Y173" s="55">
        <f t="shared" si="51"/>
        <v>-3.6584367976082366E-3</v>
      </c>
      <c r="Z173" s="55">
        <f t="shared" si="51"/>
        <v>-3.6486979740753874E-3</v>
      </c>
      <c r="AA173" s="55">
        <f t="shared" si="51"/>
        <v>-3.638959150542537E-3</v>
      </c>
      <c r="AB173" s="55">
        <f t="shared" si="51"/>
        <v>-3.6292203270096878E-3</v>
      </c>
      <c r="AC173" s="270">
        <f t="shared" si="51"/>
        <v>-3.619481503476837E-3</v>
      </c>
      <c r="AD173" s="338">
        <f>SUM(F173:AC173)</f>
        <v>-8.6479040145012565E-2</v>
      </c>
    </row>
    <row r="174" spans="1:30" s="110" customFormat="1" ht="12">
      <c r="A174" s="58"/>
      <c r="B174" s="58"/>
      <c r="C174" s="49" t="s">
        <v>41</v>
      </c>
      <c r="D174" s="308">
        <f>D168</f>
        <v>-291400</v>
      </c>
      <c r="E174" s="217"/>
      <c r="F174" s="315">
        <f>F173*$D$174</f>
        <v>0</v>
      </c>
      <c r="G174" s="315">
        <f t="shared" ref="G174:AC174" si="52">G173*$D$174</f>
        <v>1069.8214694646254</v>
      </c>
      <c r="H174" s="315">
        <f t="shared" si="52"/>
        <v>1079.7276764611374</v>
      </c>
      <c r="I174" s="315">
        <f t="shared" si="52"/>
        <v>1089.6338834576495</v>
      </c>
      <c r="J174" s="315">
        <f t="shared" si="52"/>
        <v>1099.5400904541614</v>
      </c>
      <c r="K174" s="315">
        <f t="shared" si="52"/>
        <v>1109.4462974506735</v>
      </c>
      <c r="L174" s="315">
        <f t="shared" si="52"/>
        <v>1119.3525044471858</v>
      </c>
      <c r="M174" s="315">
        <f t="shared" si="52"/>
        <v>1129.2587114436978</v>
      </c>
      <c r="N174" s="315">
        <f t="shared" si="52"/>
        <v>1126.3451603945991</v>
      </c>
      <c r="O174" s="315">
        <f t="shared" si="52"/>
        <v>1123.4316093455002</v>
      </c>
      <c r="P174" s="315">
        <f t="shared" si="52"/>
        <v>1120.5180582964013</v>
      </c>
      <c r="Q174" s="315">
        <f t="shared" si="52"/>
        <v>1117.6045072473028</v>
      </c>
      <c r="R174" s="315">
        <f t="shared" si="52"/>
        <v>1114.6909561982038</v>
      </c>
      <c r="S174" s="315">
        <f t="shared" si="52"/>
        <v>1111.7774051491051</v>
      </c>
      <c r="T174" s="315">
        <f t="shared" si="52"/>
        <v>1108.8638541000064</v>
      </c>
      <c r="U174" s="315">
        <f t="shared" si="52"/>
        <v>1105.9503030509072</v>
      </c>
      <c r="V174" s="315">
        <f t="shared" si="52"/>
        <v>1103.0367520018083</v>
      </c>
      <c r="W174" s="315">
        <f t="shared" si="52"/>
        <v>1100.1232009527096</v>
      </c>
      <c r="X174" s="315">
        <f t="shared" si="52"/>
        <v>1068.9063760005129</v>
      </c>
      <c r="Y174" s="315">
        <f t="shared" si="52"/>
        <v>1066.0684828230401</v>
      </c>
      <c r="Z174" s="315">
        <f t="shared" si="52"/>
        <v>1063.230589645568</v>
      </c>
      <c r="AA174" s="315">
        <f t="shared" si="52"/>
        <v>1060.3926964680952</v>
      </c>
      <c r="AB174" s="315">
        <f t="shared" si="52"/>
        <v>1057.5548032906231</v>
      </c>
      <c r="AC174" s="390">
        <f t="shared" si="52"/>
        <v>1054.7169101131503</v>
      </c>
      <c r="AD174" s="359">
        <f>SUM(F174:AC174)</f>
        <v>25199.99229825666</v>
      </c>
    </row>
    <row r="175" spans="1:30" s="110" customFormat="1" ht="12">
      <c r="A175" s="58"/>
      <c r="B175" s="58"/>
      <c r="C175" s="49"/>
      <c r="D175" s="210"/>
      <c r="E175" s="217"/>
      <c r="F175" s="255"/>
      <c r="G175" s="255"/>
      <c r="H175" s="255"/>
      <c r="I175" s="255"/>
      <c r="J175" s="255"/>
      <c r="K175" s="255"/>
      <c r="L175" s="255"/>
      <c r="M175" s="255"/>
      <c r="N175" s="255"/>
      <c r="O175" s="255"/>
      <c r="P175" s="255"/>
      <c r="Q175" s="255"/>
      <c r="R175" s="255"/>
      <c r="S175" s="255"/>
      <c r="T175" s="255"/>
      <c r="U175" s="255"/>
      <c r="V175" s="255"/>
      <c r="W175" s="255"/>
      <c r="X175" s="255"/>
      <c r="Y175" s="255"/>
      <c r="Z175" s="255"/>
      <c r="AA175" s="255"/>
      <c r="AB175" s="255"/>
      <c r="AC175" s="268"/>
      <c r="AD175" s="346"/>
    </row>
    <row r="176" spans="1:30" s="110" customFormat="1" ht="12">
      <c r="A176" s="58"/>
      <c r="B176" s="58" t="s">
        <v>528</v>
      </c>
      <c r="C176" s="78" t="s">
        <v>581</v>
      </c>
      <c r="D176" s="210"/>
      <c r="E176" s="217"/>
      <c r="AC176" s="262"/>
      <c r="AD176" s="337"/>
    </row>
    <row r="177" spans="1:30" s="110" customFormat="1" ht="12">
      <c r="A177" s="58"/>
      <c r="B177" s="58"/>
      <c r="C177" s="78" t="s">
        <v>542</v>
      </c>
      <c r="D177" s="210">
        <f>'Mode Operating Assumptions'!$D$184</f>
        <v>8.6836127924972328E-9</v>
      </c>
      <c r="E177" s="217"/>
      <c r="F177" s="55">
        <f>$D177*F$23</f>
        <v>0</v>
      </c>
      <c r="G177" s="55">
        <f t="shared" ref="G177:AC177" si="53">$D177*G$23</f>
        <v>-1.6357987966629181E-4</v>
      </c>
      <c r="H177" s="55">
        <f t="shared" si="53"/>
        <v>-1.6509457739361427E-4</v>
      </c>
      <c r="I177" s="55">
        <f t="shared" si="53"/>
        <v>-1.6660927512093668E-4</v>
      </c>
      <c r="J177" s="55">
        <f t="shared" si="53"/>
        <v>-1.6812397284825909E-4</v>
      </c>
      <c r="K177" s="55">
        <f t="shared" si="53"/>
        <v>-1.6963867057558159E-4</v>
      </c>
      <c r="L177" s="55">
        <f t="shared" si="53"/>
        <v>-1.71153368302904E-4</v>
      </c>
      <c r="M177" s="55">
        <f t="shared" si="53"/>
        <v>-1.7266806603022643E-4</v>
      </c>
      <c r="N177" s="55">
        <f t="shared" si="53"/>
        <v>-1.7222257269922082E-4</v>
      </c>
      <c r="O177" s="55">
        <f t="shared" si="53"/>
        <v>-1.7177707936821509E-4</v>
      </c>
      <c r="P177" s="55">
        <f t="shared" si="53"/>
        <v>-1.7133158603720942E-4</v>
      </c>
      <c r="Q177" s="55">
        <f t="shared" si="53"/>
        <v>-1.708860927062038E-4</v>
      </c>
      <c r="R177" s="55">
        <f t="shared" si="53"/>
        <v>-1.7044059937519808E-4</v>
      </c>
      <c r="S177" s="55">
        <f t="shared" si="53"/>
        <v>-1.6999510604419243E-4</v>
      </c>
      <c r="T177" s="55">
        <f t="shared" si="53"/>
        <v>-1.6954961271318673E-4</v>
      </c>
      <c r="U177" s="55">
        <f t="shared" si="53"/>
        <v>-1.6910411938218106E-4</v>
      </c>
      <c r="V177" s="55">
        <f t="shared" si="53"/>
        <v>-1.6865862605117536E-4</v>
      </c>
      <c r="W177" s="55">
        <f t="shared" si="53"/>
        <v>-1.6821313272016969E-4</v>
      </c>
      <c r="X177" s="55">
        <f t="shared" si="53"/>
        <v>-1.6343995830276009E-4</v>
      </c>
      <c r="Y177" s="55">
        <f t="shared" si="53"/>
        <v>-1.6300603335572288E-4</v>
      </c>
      <c r="Z177" s="55">
        <f t="shared" si="53"/>
        <v>-1.6257210840868566E-4</v>
      </c>
      <c r="AA177" s="55">
        <f t="shared" si="53"/>
        <v>-1.6213818346164836E-4</v>
      </c>
      <c r="AB177" s="55">
        <f t="shared" si="53"/>
        <v>-1.6170425851461118E-4</v>
      </c>
      <c r="AC177" s="270">
        <f t="shared" si="53"/>
        <v>-1.612703335675739E-4</v>
      </c>
      <c r="AD177" s="353">
        <f t="shared" si="29"/>
        <v>-3.8531772126457688E-3</v>
      </c>
    </row>
    <row r="178" spans="1:30" s="110" customFormat="1" ht="12">
      <c r="A178" s="58"/>
      <c r="B178" s="58"/>
      <c r="C178" s="49" t="s">
        <v>40</v>
      </c>
      <c r="D178" s="308">
        <f>D166</f>
        <v>-6200000</v>
      </c>
      <c r="E178" s="217"/>
      <c r="F178" s="255">
        <f>F177*$D$178</f>
        <v>0</v>
      </c>
      <c r="G178" s="255">
        <f t="shared" ref="G178:AC178" si="54">G177*$D$178</f>
        <v>1014.1952539310092</v>
      </c>
      <c r="H178" s="255">
        <f t="shared" si="54"/>
        <v>1023.5863798404085</v>
      </c>
      <c r="I178" s="255">
        <f t="shared" si="54"/>
        <v>1032.9775057498075</v>
      </c>
      <c r="J178" s="255">
        <f t="shared" si="54"/>
        <v>1042.3686316592064</v>
      </c>
      <c r="K178" s="255">
        <f t="shared" si="54"/>
        <v>1051.7597575686059</v>
      </c>
      <c r="L178" s="255">
        <f t="shared" si="54"/>
        <v>1061.1508834780047</v>
      </c>
      <c r="M178" s="255">
        <f t="shared" si="54"/>
        <v>1070.5420093874038</v>
      </c>
      <c r="N178" s="255">
        <f t="shared" si="54"/>
        <v>1067.779950735169</v>
      </c>
      <c r="O178" s="255">
        <f t="shared" si="54"/>
        <v>1065.0178920829335</v>
      </c>
      <c r="P178" s="255">
        <f t="shared" si="54"/>
        <v>1062.2558334306984</v>
      </c>
      <c r="Q178" s="255">
        <f t="shared" si="54"/>
        <v>1059.4937747784636</v>
      </c>
      <c r="R178" s="255">
        <f t="shared" si="54"/>
        <v>1056.7317161262281</v>
      </c>
      <c r="S178" s="255">
        <f t="shared" si="54"/>
        <v>1053.969657473993</v>
      </c>
      <c r="T178" s="255">
        <f t="shared" si="54"/>
        <v>1051.2075988217578</v>
      </c>
      <c r="U178" s="255">
        <f t="shared" si="54"/>
        <v>1048.4455401695225</v>
      </c>
      <c r="V178" s="255">
        <f t="shared" si="54"/>
        <v>1045.6834815172872</v>
      </c>
      <c r="W178" s="255">
        <f t="shared" si="54"/>
        <v>1042.9214228650521</v>
      </c>
      <c r="X178" s="255">
        <f t="shared" si="54"/>
        <v>1013.3277414771126</v>
      </c>
      <c r="Y178" s="255">
        <f t="shared" si="54"/>
        <v>1010.6374068054819</v>
      </c>
      <c r="Z178" s="255">
        <f t="shared" si="54"/>
        <v>1007.9470721338511</v>
      </c>
      <c r="AA178" s="255">
        <f t="shared" si="54"/>
        <v>1005.2567374622198</v>
      </c>
      <c r="AB178" s="255">
        <f t="shared" si="54"/>
        <v>1002.5664027905893</v>
      </c>
      <c r="AC178" s="268">
        <f t="shared" si="54"/>
        <v>999.87606811895819</v>
      </c>
      <c r="AD178" s="346">
        <f t="shared" ref="AD178:AD192" si="55">SUM(F178:AC178)</f>
        <v>23889.698718403764</v>
      </c>
    </row>
    <row r="179" spans="1:30" s="110" customFormat="1" ht="12">
      <c r="A179" s="58"/>
      <c r="B179" s="58"/>
      <c r="C179" s="78" t="s">
        <v>543</v>
      </c>
      <c r="D179" s="210">
        <f>'Mode Operating Assumptions'!$D$185</f>
        <v>8.1339537419145546E-7</v>
      </c>
      <c r="E179" s="217"/>
      <c r="F179" s="55">
        <f>$D179*F$23</f>
        <v>0</v>
      </c>
      <c r="G179" s="55">
        <f t="shared" ref="G179:AC179" si="56">$D179*G$23</f>
        <v>-1.5322553021516369E-2</v>
      </c>
      <c r="H179" s="55">
        <f t="shared" si="56"/>
        <v>-1.5464434995545303E-2</v>
      </c>
      <c r="I179" s="55">
        <f t="shared" si="56"/>
        <v>-1.560631696957423E-2</v>
      </c>
      <c r="J179" s="55">
        <f t="shared" si="56"/>
        <v>-1.5748198943603159E-2</v>
      </c>
      <c r="K179" s="55">
        <f t="shared" si="56"/>
        <v>-1.5890080917632096E-2</v>
      </c>
      <c r="L179" s="55">
        <f t="shared" si="56"/>
        <v>-1.6031962891661023E-2</v>
      </c>
      <c r="M179" s="55">
        <f t="shared" si="56"/>
        <v>-1.6173844865689953E-2</v>
      </c>
      <c r="N179" s="55">
        <f t="shared" si="56"/>
        <v>-1.6132115435401884E-2</v>
      </c>
      <c r="O179" s="55">
        <f t="shared" si="56"/>
        <v>-1.6090386005113803E-2</v>
      </c>
      <c r="P179" s="55">
        <f t="shared" si="56"/>
        <v>-1.6048656574825727E-2</v>
      </c>
      <c r="Q179" s="55">
        <f t="shared" si="56"/>
        <v>-1.6006927144537657E-2</v>
      </c>
      <c r="R179" s="55">
        <f t="shared" si="56"/>
        <v>-1.5965197714249577E-2</v>
      </c>
      <c r="S179" s="55">
        <f t="shared" si="56"/>
        <v>-1.5923468283961503E-2</v>
      </c>
      <c r="T179" s="55">
        <f t="shared" si="56"/>
        <v>-1.5881738853673423E-2</v>
      </c>
      <c r="U179" s="55">
        <f t="shared" si="56"/>
        <v>-1.5840009423385346E-2</v>
      </c>
      <c r="V179" s="55">
        <f t="shared" si="56"/>
        <v>-1.5798279993097269E-2</v>
      </c>
      <c r="W179" s="55">
        <f t="shared" si="56"/>
        <v>-1.5756550562809193E-2</v>
      </c>
      <c r="X179" s="55">
        <f t="shared" si="56"/>
        <v>-1.5309446565417177E-2</v>
      </c>
      <c r="Y179" s="55">
        <f t="shared" si="56"/>
        <v>-1.5268800747472451E-2</v>
      </c>
      <c r="Z179" s="55">
        <f t="shared" si="56"/>
        <v>-1.5228154929527723E-2</v>
      </c>
      <c r="AA179" s="55">
        <f t="shared" si="56"/>
        <v>-1.5187509111582989E-2</v>
      </c>
      <c r="AB179" s="55">
        <f t="shared" si="56"/>
        <v>-1.5146863293638265E-2</v>
      </c>
      <c r="AC179" s="270">
        <f t="shared" si="56"/>
        <v>-1.5106217475693533E-2</v>
      </c>
      <c r="AD179" s="353">
        <f t="shared" si="55"/>
        <v>-0.36092771471960972</v>
      </c>
    </row>
    <row r="180" spans="1:30" s="110" customFormat="1" ht="12">
      <c r="A180" s="58"/>
      <c r="B180" s="58"/>
      <c r="C180" s="49" t="s">
        <v>41</v>
      </c>
      <c r="D180" s="308">
        <f>D168</f>
        <v>-291400</v>
      </c>
      <c r="E180" s="217"/>
      <c r="F180" s="255">
        <f>F179*$D$180</f>
        <v>0</v>
      </c>
      <c r="G180" s="255">
        <f t="shared" ref="G180:AC180" si="57">G179*$D$180</f>
        <v>4464.9919504698701</v>
      </c>
      <c r="H180" s="255">
        <f t="shared" si="57"/>
        <v>4506.3363577019018</v>
      </c>
      <c r="I180" s="255">
        <f t="shared" si="57"/>
        <v>4547.6807649339307</v>
      </c>
      <c r="J180" s="255">
        <f t="shared" si="57"/>
        <v>4589.0251721659606</v>
      </c>
      <c r="K180" s="255">
        <f t="shared" si="57"/>
        <v>4630.3695793979932</v>
      </c>
      <c r="L180" s="255">
        <f t="shared" si="57"/>
        <v>4671.7139866300222</v>
      </c>
      <c r="M180" s="255">
        <f t="shared" si="57"/>
        <v>4713.0583938620521</v>
      </c>
      <c r="N180" s="255">
        <f t="shared" si="57"/>
        <v>4700.8984378761088</v>
      </c>
      <c r="O180" s="255">
        <f t="shared" si="57"/>
        <v>4688.7384818901619</v>
      </c>
      <c r="P180" s="255">
        <f t="shared" si="57"/>
        <v>4676.5785259042168</v>
      </c>
      <c r="Q180" s="255">
        <f t="shared" si="57"/>
        <v>4664.4185699182735</v>
      </c>
      <c r="R180" s="255">
        <f t="shared" si="57"/>
        <v>4652.2586139323266</v>
      </c>
      <c r="S180" s="255">
        <f t="shared" si="57"/>
        <v>4640.0986579463824</v>
      </c>
      <c r="T180" s="255">
        <f t="shared" si="57"/>
        <v>4627.9387019604355</v>
      </c>
      <c r="U180" s="255">
        <f t="shared" si="57"/>
        <v>4615.7787459744895</v>
      </c>
      <c r="V180" s="255">
        <f t="shared" si="57"/>
        <v>4603.6187899885444</v>
      </c>
      <c r="W180" s="255">
        <f t="shared" si="57"/>
        <v>4591.4588340025985</v>
      </c>
      <c r="X180" s="255">
        <f t="shared" si="57"/>
        <v>4461.1727291625657</v>
      </c>
      <c r="Y180" s="255">
        <f t="shared" si="57"/>
        <v>4449.3285378134724</v>
      </c>
      <c r="Z180" s="255">
        <f t="shared" si="57"/>
        <v>4437.4843464643782</v>
      </c>
      <c r="AA180" s="255">
        <f t="shared" si="57"/>
        <v>4425.6401551152831</v>
      </c>
      <c r="AB180" s="255">
        <f t="shared" si="57"/>
        <v>4413.7959637661907</v>
      </c>
      <c r="AC180" s="268">
        <f t="shared" si="57"/>
        <v>4401.9517724170955</v>
      </c>
      <c r="AD180" s="346">
        <f t="shared" si="55"/>
        <v>105174.33606929424</v>
      </c>
    </row>
    <row r="181" spans="1:30" s="110" customFormat="1" ht="12">
      <c r="A181" s="58"/>
      <c r="B181" s="58"/>
      <c r="C181" s="78" t="s">
        <v>554</v>
      </c>
      <c r="D181" s="210">
        <f>'Mode Operating Assumptions'!$D$183</f>
        <v>1.8640215942009768E-6</v>
      </c>
      <c r="E181" s="217"/>
      <c r="F181" s="55">
        <f>$D181*F$23</f>
        <v>0</v>
      </c>
      <c r="G181" s="55">
        <f t="shared" ref="G181:AC181" si="58">$D181*G$23</f>
        <v>-3.511400558281657E-2</v>
      </c>
      <c r="H181" s="55">
        <f t="shared" si="58"/>
        <v>-3.5439150121142335E-2</v>
      </c>
      <c r="I181" s="55">
        <f t="shared" si="58"/>
        <v>-3.5764294659468086E-2</v>
      </c>
      <c r="J181" s="55">
        <f t="shared" si="58"/>
        <v>-3.6089439197793838E-2</v>
      </c>
      <c r="K181" s="55">
        <f t="shared" si="58"/>
        <v>-3.641458373611961E-2</v>
      </c>
      <c r="L181" s="55">
        <f t="shared" si="58"/>
        <v>-3.6739728274445362E-2</v>
      </c>
      <c r="M181" s="55">
        <f t="shared" si="58"/>
        <v>-3.706487281277112E-2</v>
      </c>
      <c r="N181" s="55">
        <f t="shared" si="58"/>
        <v>-3.6969243354283005E-2</v>
      </c>
      <c r="O181" s="55">
        <f t="shared" si="58"/>
        <v>-3.6873613895794868E-2</v>
      </c>
      <c r="P181" s="55">
        <f t="shared" si="58"/>
        <v>-3.6777984437306739E-2</v>
      </c>
      <c r="Q181" s="55">
        <f t="shared" si="58"/>
        <v>-3.6682354978818617E-2</v>
      </c>
      <c r="R181" s="55">
        <f t="shared" si="58"/>
        <v>-3.6586725520330481E-2</v>
      </c>
      <c r="S181" s="55">
        <f t="shared" si="58"/>
        <v>-3.6491096061842358E-2</v>
      </c>
      <c r="T181" s="55">
        <f t="shared" si="58"/>
        <v>-3.6395466603354222E-2</v>
      </c>
      <c r="U181" s="55">
        <f t="shared" si="58"/>
        <v>-3.6299837144866093E-2</v>
      </c>
      <c r="V181" s="55">
        <f t="shared" si="58"/>
        <v>-3.6204207686377964E-2</v>
      </c>
      <c r="W181" s="55">
        <f t="shared" si="58"/>
        <v>-3.6108578227889834E-2</v>
      </c>
      <c r="X181" s="55">
        <f t="shared" si="58"/>
        <v>-3.5083970106875209E-2</v>
      </c>
      <c r="Y181" s="55">
        <f t="shared" si="58"/>
        <v>-3.4990823914055696E-2</v>
      </c>
      <c r="Z181" s="55">
        <f t="shared" si="58"/>
        <v>-3.4897677721236191E-2</v>
      </c>
      <c r="AA181" s="55">
        <f t="shared" si="58"/>
        <v>-3.4804531528416671E-2</v>
      </c>
      <c r="AB181" s="55">
        <f t="shared" si="58"/>
        <v>-3.4711385335597165E-2</v>
      </c>
      <c r="AC181" s="270">
        <f t="shared" si="58"/>
        <v>-3.4618239142777646E-2</v>
      </c>
      <c r="AD181" s="353">
        <f t="shared" si="55"/>
        <v>-0.82712181004437968</v>
      </c>
    </row>
    <row r="182" spans="1:30" s="110" customFormat="1" ht="12">
      <c r="A182" s="58"/>
      <c r="B182" s="58"/>
      <c r="C182" s="49" t="s">
        <v>530</v>
      </c>
      <c r="D182" s="308">
        <f>-'Mode Operating Assumptions'!C172</f>
        <v>-3285</v>
      </c>
      <c r="E182" s="217"/>
      <c r="F182" s="255">
        <f>F181*$D$182</f>
        <v>0</v>
      </c>
      <c r="G182" s="255">
        <f t="shared" ref="G182:AC182" si="59">G181*$D$182</f>
        <v>115.34950833955243</v>
      </c>
      <c r="H182" s="255">
        <f t="shared" si="59"/>
        <v>116.41760814795256</v>
      </c>
      <c r="I182" s="255">
        <f t="shared" si="59"/>
        <v>117.48570795635267</v>
      </c>
      <c r="J182" s="255">
        <f t="shared" si="59"/>
        <v>118.55380776475276</v>
      </c>
      <c r="K182" s="255">
        <f t="shared" si="59"/>
        <v>119.62190757315292</v>
      </c>
      <c r="L182" s="255">
        <f t="shared" si="59"/>
        <v>120.69000738155302</v>
      </c>
      <c r="M182" s="255">
        <f t="shared" si="59"/>
        <v>121.75810718995312</v>
      </c>
      <c r="N182" s="255">
        <f t="shared" si="59"/>
        <v>121.44396441881968</v>
      </c>
      <c r="O182" s="255">
        <f t="shared" si="59"/>
        <v>121.12982164768614</v>
      </c>
      <c r="P182" s="255">
        <f t="shared" si="59"/>
        <v>120.81567887655264</v>
      </c>
      <c r="Q182" s="255">
        <f t="shared" si="59"/>
        <v>120.50153610541916</v>
      </c>
      <c r="R182" s="255">
        <f t="shared" si="59"/>
        <v>120.18739333428563</v>
      </c>
      <c r="S182" s="255">
        <f t="shared" si="59"/>
        <v>119.87325056315214</v>
      </c>
      <c r="T182" s="255">
        <f t="shared" si="59"/>
        <v>119.55910779201862</v>
      </c>
      <c r="U182" s="255">
        <f t="shared" si="59"/>
        <v>119.24496502088512</v>
      </c>
      <c r="V182" s="255">
        <f t="shared" si="59"/>
        <v>118.93082224975161</v>
      </c>
      <c r="W182" s="255">
        <f t="shared" si="59"/>
        <v>118.61667947861811</v>
      </c>
      <c r="X182" s="255">
        <f t="shared" si="59"/>
        <v>115.25084180108506</v>
      </c>
      <c r="Y182" s="255">
        <f t="shared" si="59"/>
        <v>114.94485655767296</v>
      </c>
      <c r="Z182" s="255">
        <f t="shared" si="59"/>
        <v>114.63887131426088</v>
      </c>
      <c r="AA182" s="255">
        <f t="shared" si="59"/>
        <v>114.33288607084876</v>
      </c>
      <c r="AB182" s="255">
        <f t="shared" si="59"/>
        <v>114.02690082743669</v>
      </c>
      <c r="AC182" s="268">
        <f t="shared" si="59"/>
        <v>113.72091558402457</v>
      </c>
      <c r="AD182" s="346">
        <f t="shared" si="55"/>
        <v>2717.0951459957878</v>
      </c>
    </row>
    <row r="183" spans="1:30" s="110" customFormat="1" ht="12">
      <c r="A183" s="58"/>
      <c r="B183" s="58"/>
      <c r="D183" s="308"/>
      <c r="E183" s="217"/>
      <c r="F183" s="255"/>
      <c r="G183" s="255"/>
      <c r="H183" s="255"/>
      <c r="I183" s="255"/>
      <c r="J183" s="255"/>
      <c r="K183" s="255"/>
      <c r="L183" s="255"/>
      <c r="M183" s="255"/>
      <c r="N183" s="255"/>
      <c r="O183" s="255"/>
      <c r="P183" s="255"/>
      <c r="Q183" s="255"/>
      <c r="R183" s="255"/>
      <c r="S183" s="255"/>
      <c r="T183" s="255"/>
      <c r="U183" s="255"/>
      <c r="V183" s="255"/>
      <c r="W183" s="255"/>
      <c r="X183" s="255"/>
      <c r="Y183" s="255"/>
      <c r="Z183" s="255"/>
      <c r="AA183" s="255"/>
      <c r="AB183" s="255"/>
      <c r="AC183" s="268"/>
      <c r="AD183" s="346"/>
    </row>
    <row r="184" spans="1:30" s="5" customFormat="1" ht="12">
      <c r="A184" s="58"/>
      <c r="B184" s="58"/>
      <c r="C184" s="295" t="s">
        <v>520</v>
      </c>
      <c r="D184" s="212"/>
      <c r="E184" s="220"/>
      <c r="F184" s="83">
        <f>F172+F174+F153+F155+F166+F159+F161+F168+F178+F180+F182</f>
        <v>0</v>
      </c>
      <c r="G184" s="83">
        <f t="shared" ref="G184:AC184" si="60">G172+G174+G153+G155+G166+G159+G161+G168+G178+G180+G182</f>
        <v>27293.227571106792</v>
      </c>
      <c r="H184" s="83">
        <f t="shared" si="60"/>
        <v>27545.954189182237</v>
      </c>
      <c r="I184" s="83">
        <f t="shared" si="60"/>
        <v>27798.680807257686</v>
      </c>
      <c r="J184" s="83">
        <f t="shared" si="60"/>
        <v>28051.407425333124</v>
      </c>
      <c r="K184" s="83">
        <f t="shared" si="60"/>
        <v>28304.134043408572</v>
      </c>
      <c r="L184" s="83">
        <f t="shared" si="60"/>
        <v>28556.860661483999</v>
      </c>
      <c r="M184" s="83">
        <f t="shared" si="60"/>
        <v>28809.587279559451</v>
      </c>
      <c r="N184" s="83">
        <f t="shared" si="60"/>
        <v>28735.256922492597</v>
      </c>
      <c r="O184" s="83">
        <f t="shared" si="60"/>
        <v>28660.926565425743</v>
      </c>
      <c r="P184" s="83">
        <f t="shared" si="60"/>
        <v>28586.596208358886</v>
      </c>
      <c r="Q184" s="83">
        <f t="shared" si="60"/>
        <v>28512.26585129205</v>
      </c>
      <c r="R184" s="83">
        <f t="shared" si="60"/>
        <v>28437.935494225188</v>
      </c>
      <c r="S184" s="83">
        <f t="shared" si="60"/>
        <v>28363.605137158334</v>
      </c>
      <c r="T184" s="83">
        <f t="shared" si="60"/>
        <v>28289.274780091491</v>
      </c>
      <c r="U184" s="83">
        <f t="shared" si="60"/>
        <v>28214.944423024626</v>
      </c>
      <c r="V184" s="83">
        <f t="shared" si="60"/>
        <v>28140.614065957772</v>
      </c>
      <c r="W184" s="83">
        <f t="shared" si="60"/>
        <v>28066.283708890922</v>
      </c>
      <c r="X184" s="83">
        <f t="shared" si="60"/>
        <v>27269.881756054721</v>
      </c>
      <c r="Y184" s="83">
        <f t="shared" si="60"/>
        <v>27197.481578524163</v>
      </c>
      <c r="Z184" s="83">
        <f t="shared" si="60"/>
        <v>27125.0814009936</v>
      </c>
      <c r="AA184" s="83">
        <f t="shared" si="60"/>
        <v>27052.681223463034</v>
      </c>
      <c r="AB184" s="83">
        <f t="shared" si="60"/>
        <v>26980.281045932465</v>
      </c>
      <c r="AC184" s="272">
        <f t="shared" si="60"/>
        <v>26907.880868401899</v>
      </c>
      <c r="AD184" s="355">
        <f t="shared" si="55"/>
        <v>642900.84300761926</v>
      </c>
    </row>
    <row r="185" spans="1:30" s="110" customFormat="1" ht="12">
      <c r="A185" s="107"/>
      <c r="B185" s="58"/>
      <c r="C185" s="108"/>
      <c r="D185" s="208"/>
      <c r="E185" s="216"/>
      <c r="F185" s="109"/>
      <c r="G185" s="109"/>
      <c r="H185" s="109"/>
      <c r="I185" s="109"/>
      <c r="J185" s="109"/>
      <c r="K185" s="109"/>
      <c r="L185" s="109"/>
      <c r="M185" s="109"/>
      <c r="N185" s="109"/>
      <c r="O185" s="109"/>
      <c r="P185" s="109"/>
      <c r="Q185" s="109"/>
      <c r="R185" s="109"/>
      <c r="S185" s="109"/>
      <c r="T185" s="109"/>
      <c r="U185" s="109"/>
      <c r="V185" s="109"/>
      <c r="W185" s="109"/>
      <c r="X185" s="109"/>
      <c r="Y185" s="109"/>
      <c r="Z185" s="109"/>
      <c r="AC185" s="262"/>
      <c r="AD185" s="337"/>
    </row>
    <row r="186" spans="1:30" s="93" customFormat="1" ht="12">
      <c r="A186" s="93" t="s">
        <v>347</v>
      </c>
      <c r="B186" s="58"/>
      <c r="D186" s="211"/>
      <c r="E186" s="222"/>
      <c r="H186" s="92"/>
      <c r="I186" s="92"/>
      <c r="J186" s="92"/>
      <c r="K186" s="92"/>
      <c r="L186" s="92"/>
      <c r="M186" s="92"/>
      <c r="N186" s="92"/>
      <c r="O186" s="92"/>
      <c r="P186" s="92"/>
      <c r="Q186" s="92"/>
      <c r="R186" s="92"/>
      <c r="S186" s="92"/>
      <c r="T186" s="92"/>
      <c r="U186" s="92"/>
      <c r="V186" s="92"/>
      <c r="W186" s="92"/>
      <c r="X186" s="92"/>
      <c r="Y186" s="92"/>
      <c r="AC186" s="273"/>
      <c r="AD186" s="361"/>
    </row>
    <row r="187" spans="1:30" s="93" customFormat="1" ht="12">
      <c r="B187" s="58"/>
      <c r="D187" s="211"/>
      <c r="E187" s="222"/>
      <c r="H187" s="106"/>
      <c r="I187" s="106"/>
      <c r="J187" s="106"/>
      <c r="K187" s="106"/>
      <c r="L187" s="106"/>
      <c r="M187" s="106"/>
      <c r="N187" s="106"/>
      <c r="O187" s="106"/>
      <c r="P187" s="106"/>
      <c r="Q187" s="106"/>
      <c r="R187" s="106"/>
      <c r="S187" s="106"/>
      <c r="T187" s="106"/>
      <c r="U187" s="106"/>
      <c r="V187" s="106"/>
      <c r="W187" s="106"/>
      <c r="X187" s="106"/>
      <c r="Y187" s="106"/>
      <c r="AC187" s="273"/>
      <c r="AD187" s="361"/>
    </row>
    <row r="188" spans="1:30" s="110" customFormat="1" ht="12">
      <c r="A188" s="91"/>
      <c r="B188" s="58"/>
      <c r="C188" s="291" t="s">
        <v>502</v>
      </c>
      <c r="D188" s="211"/>
      <c r="E188" s="290">
        <f>SUM(F188:AC188)</f>
        <v>2246097.9752506008</v>
      </c>
      <c r="F188" s="255">
        <f t="shared" ref="F188:AC188" si="61">F5+F6+F45+F57+F64+F71+F84+F91+F108+F121+F184+F124+F141+F146</f>
        <v>-534024</v>
      </c>
      <c r="G188" s="255">
        <f t="shared" si="61"/>
        <v>-89854.657565422065</v>
      </c>
      <c r="H188" s="255">
        <f t="shared" si="61"/>
        <v>129553.05581309269</v>
      </c>
      <c r="I188" s="255">
        <f t="shared" si="61"/>
        <v>130487.18065629675</v>
      </c>
      <c r="J188" s="255">
        <f t="shared" si="61"/>
        <v>131512.36699862007</v>
      </c>
      <c r="K188" s="255">
        <f t="shared" si="61"/>
        <v>132470.79550143419</v>
      </c>
      <c r="L188" s="255">
        <f t="shared" si="61"/>
        <v>133395.58765433182</v>
      </c>
      <c r="M188" s="255">
        <f t="shared" si="61"/>
        <v>134282.81213665381</v>
      </c>
      <c r="N188" s="255">
        <f t="shared" si="61"/>
        <v>133718.01441793094</v>
      </c>
      <c r="O188" s="255">
        <f t="shared" si="61"/>
        <v>133178.06109948803</v>
      </c>
      <c r="P188" s="255">
        <f t="shared" si="61"/>
        <v>132857.61370769254</v>
      </c>
      <c r="Q188" s="255">
        <f t="shared" si="61"/>
        <v>132536.6332227182</v>
      </c>
      <c r="R188" s="255">
        <f t="shared" si="61"/>
        <v>132216.65072663661</v>
      </c>
      <c r="S188" s="255">
        <f t="shared" si="61"/>
        <v>131896.16345829694</v>
      </c>
      <c r="T188" s="255">
        <f t="shared" si="61"/>
        <v>131576.6550425755</v>
      </c>
      <c r="U188" s="255">
        <f t="shared" si="61"/>
        <v>131256.67004187396</v>
      </c>
      <c r="V188" s="255">
        <f t="shared" si="61"/>
        <v>130937.64503909882</v>
      </c>
      <c r="W188" s="255">
        <f t="shared" si="61"/>
        <v>130618.17150773873</v>
      </c>
      <c r="X188" s="255">
        <f t="shared" si="61"/>
        <v>126940.33291594434</v>
      </c>
      <c r="Y188" s="255">
        <f t="shared" si="61"/>
        <v>126630.37271556102</v>
      </c>
      <c r="Z188" s="255">
        <f t="shared" si="61"/>
        <v>126369.01113624425</v>
      </c>
      <c r="AA188" s="255">
        <f t="shared" si="61"/>
        <v>126108.43368064011</v>
      </c>
      <c r="AB188" s="255">
        <f t="shared" si="61"/>
        <v>125847.35167380053</v>
      </c>
      <c r="AC188" s="268">
        <f t="shared" si="61"/>
        <v>125587.0536693532</v>
      </c>
      <c r="AD188" s="346">
        <f>SUM(F188:AC188)</f>
        <v>2246097.9752506008</v>
      </c>
    </row>
    <row r="189" spans="1:30" s="93" customFormat="1" ht="12">
      <c r="A189" s="91"/>
      <c r="B189" s="58"/>
      <c r="C189" s="70" t="s">
        <v>180</v>
      </c>
      <c r="D189" s="211"/>
      <c r="E189" s="218"/>
      <c r="F189" s="106">
        <f>1/1.03</f>
        <v>0.970873786407767</v>
      </c>
      <c r="G189" s="106">
        <f>F189/1.03</f>
        <v>0.94259590913375435</v>
      </c>
      <c r="H189" s="106">
        <f t="shared" ref="H189:AC189" si="62">G189/1.03</f>
        <v>0.9151416593531595</v>
      </c>
      <c r="I189" s="106">
        <f t="shared" si="62"/>
        <v>0.88848704791568878</v>
      </c>
      <c r="J189" s="106">
        <f t="shared" si="62"/>
        <v>0.86260878438416388</v>
      </c>
      <c r="K189" s="106">
        <f t="shared" si="62"/>
        <v>0.83748425668365423</v>
      </c>
      <c r="L189" s="106">
        <f t="shared" si="62"/>
        <v>0.81309151134335356</v>
      </c>
      <c r="M189" s="106">
        <f t="shared" si="62"/>
        <v>0.7894092343139355</v>
      </c>
      <c r="N189" s="106">
        <f t="shared" si="62"/>
        <v>0.76641673234362673</v>
      </c>
      <c r="O189" s="106">
        <f t="shared" si="62"/>
        <v>0.74409391489672494</v>
      </c>
      <c r="P189" s="106">
        <f t="shared" si="62"/>
        <v>0.7224212765987621</v>
      </c>
      <c r="Q189" s="106">
        <f t="shared" si="62"/>
        <v>0.70137988019297293</v>
      </c>
      <c r="R189" s="106">
        <f t="shared" si="62"/>
        <v>0.68095133999317758</v>
      </c>
      <c r="S189" s="106">
        <f t="shared" si="62"/>
        <v>0.66111780581861901</v>
      </c>
      <c r="T189" s="106">
        <f t="shared" si="62"/>
        <v>0.64186194739671742</v>
      </c>
      <c r="U189" s="106">
        <f t="shared" si="62"/>
        <v>0.62316693922011401</v>
      </c>
      <c r="V189" s="106">
        <f t="shared" si="62"/>
        <v>0.60501644584477088</v>
      </c>
      <c r="W189" s="106">
        <f t="shared" si="62"/>
        <v>0.58739460761628237</v>
      </c>
      <c r="X189" s="106">
        <f t="shared" si="62"/>
        <v>0.57028602681192464</v>
      </c>
      <c r="Y189" s="106">
        <f t="shared" si="62"/>
        <v>0.55367575418633463</v>
      </c>
      <c r="Z189" s="106">
        <f t="shared" si="62"/>
        <v>0.53754927590906276</v>
      </c>
      <c r="AA189" s="106">
        <f t="shared" si="62"/>
        <v>0.52189250088258521</v>
      </c>
      <c r="AB189" s="106">
        <f t="shared" si="62"/>
        <v>0.50669174842969433</v>
      </c>
      <c r="AC189" s="274">
        <f t="shared" si="62"/>
        <v>0.49193373633950904</v>
      </c>
      <c r="AD189" s="362"/>
    </row>
    <row r="190" spans="1:30" s="110" customFormat="1" ht="12">
      <c r="A190" s="107"/>
      <c r="B190" s="58"/>
      <c r="C190" s="108" t="s">
        <v>178</v>
      </c>
      <c r="D190" s="208"/>
      <c r="E190" s="216">
        <f>SUM(F190:AC190)</f>
        <v>1361920.3927665765</v>
      </c>
      <c r="F190" s="109">
        <f>F188*F189</f>
        <v>-518469.90291262139</v>
      </c>
      <c r="G190" s="109">
        <f t="shared" ref="G190:AC190" si="63">G188*G189</f>
        <v>-84696.632637781193</v>
      </c>
      <c r="H190" s="109">
        <f t="shared" si="63"/>
        <v>118559.39847106613</v>
      </c>
      <c r="I190" s="109">
        <f t="shared" si="63"/>
        <v>115936.16993215427</v>
      </c>
      <c r="J190" s="109">
        <f t="shared" si="63"/>
        <v>113443.72302816369</v>
      </c>
      <c r="K190" s="109">
        <f t="shared" si="63"/>
        <v>110942.20570281097</v>
      </c>
      <c r="L190" s="109">
        <f t="shared" si="63"/>
        <v>108462.81997239545</v>
      </c>
      <c r="M190" s="109">
        <f t="shared" si="63"/>
        <v>106004.09191031793</v>
      </c>
      <c r="N190" s="109">
        <f t="shared" si="63"/>
        <v>102483.7236656686</v>
      </c>
      <c r="O190" s="109">
        <f t="shared" si="63"/>
        <v>99096.984861873279</v>
      </c>
      <c r="P190" s="109">
        <f t="shared" si="63"/>
        <v>95979.166900576442</v>
      </c>
      <c r="Q190" s="109">
        <f t="shared" si="63"/>
        <v>92958.527930930082</v>
      </c>
      <c r="R190" s="109">
        <f t="shared" si="63"/>
        <v>90033.105481713137</v>
      </c>
      <c r="S190" s="109">
        <f t="shared" si="63"/>
        <v>87198.902181443191</v>
      </c>
      <c r="T190" s="109">
        <f t="shared" si="63"/>
        <v>84454.048037573622</v>
      </c>
      <c r="U190" s="109">
        <f t="shared" si="63"/>
        <v>81794.817322219038</v>
      </c>
      <c r="V190" s="109">
        <f t="shared" si="63"/>
        <v>79219.428628839756</v>
      </c>
      <c r="W190" s="109">
        <f t="shared" si="63"/>
        <v>76724.409600344472</v>
      </c>
      <c r="X190" s="109">
        <f t="shared" si="63"/>
        <v>72392.298100816872</v>
      </c>
      <c r="Y190" s="109">
        <f t="shared" si="63"/>
        <v>70112.167116184908</v>
      </c>
      <c r="Z190" s="109">
        <f t="shared" si="63"/>
        <v>67929.570433632383</v>
      </c>
      <c r="AA190" s="109">
        <f t="shared" si="63"/>
        <v>65815.045835974903</v>
      </c>
      <c r="AB190" s="109">
        <f t="shared" si="63"/>
        <v>63765.814654844609</v>
      </c>
      <c r="AC190" s="392">
        <f t="shared" si="63"/>
        <v>61780.508547435369</v>
      </c>
      <c r="AD190" s="363">
        <f t="shared" si="55"/>
        <v>1361920.3927665765</v>
      </c>
    </row>
    <row r="191" spans="1:30" s="110" customFormat="1" ht="12">
      <c r="A191" s="91"/>
      <c r="B191" s="58"/>
      <c r="C191" s="70" t="s">
        <v>181</v>
      </c>
      <c r="D191" s="211"/>
      <c r="E191" s="218"/>
      <c r="F191" s="106">
        <f>1/1.07</f>
        <v>0.93457943925233644</v>
      </c>
      <c r="G191" s="106">
        <f>F191/1.07</f>
        <v>0.87343872827321156</v>
      </c>
      <c r="H191" s="106">
        <f t="shared" ref="H191:AC191" si="64">G191/1.07</f>
        <v>0.81629787689085187</v>
      </c>
      <c r="I191" s="106">
        <f t="shared" si="64"/>
        <v>0.76289521204752508</v>
      </c>
      <c r="J191" s="106">
        <f t="shared" si="64"/>
        <v>0.71298617948366827</v>
      </c>
      <c r="K191" s="106">
        <f t="shared" si="64"/>
        <v>0.66634222381651231</v>
      </c>
      <c r="L191" s="106">
        <f t="shared" si="64"/>
        <v>0.62274974188459087</v>
      </c>
      <c r="M191" s="106">
        <f t="shared" si="64"/>
        <v>0.58200910456503818</v>
      </c>
      <c r="N191" s="106">
        <f t="shared" si="64"/>
        <v>0.54393374258414784</v>
      </c>
      <c r="O191" s="106">
        <f t="shared" si="64"/>
        <v>0.50834929213471758</v>
      </c>
      <c r="P191" s="106">
        <f t="shared" si="64"/>
        <v>0.4750927963875865</v>
      </c>
      <c r="Q191" s="106">
        <f t="shared" si="64"/>
        <v>0.444011959240735</v>
      </c>
      <c r="R191" s="106">
        <f t="shared" si="64"/>
        <v>0.41496444788853737</v>
      </c>
      <c r="S191" s="106">
        <f t="shared" si="64"/>
        <v>0.38781724101732462</v>
      </c>
      <c r="T191" s="106">
        <f t="shared" si="64"/>
        <v>0.36244601964235945</v>
      </c>
      <c r="U191" s="106">
        <f t="shared" si="64"/>
        <v>0.33873459779659759</v>
      </c>
      <c r="V191" s="106">
        <f t="shared" si="64"/>
        <v>0.3165743904641099</v>
      </c>
      <c r="W191" s="106">
        <f t="shared" si="64"/>
        <v>0.29586391632159803</v>
      </c>
      <c r="X191" s="106">
        <f t="shared" si="64"/>
        <v>0.27650833301083927</v>
      </c>
      <c r="Y191" s="106">
        <f t="shared" si="64"/>
        <v>0.25841900281386848</v>
      </c>
      <c r="Z191" s="106">
        <f t="shared" si="64"/>
        <v>0.24151308674193314</v>
      </c>
      <c r="AA191" s="106">
        <f t="shared" si="64"/>
        <v>0.22571316517937676</v>
      </c>
      <c r="AB191" s="106">
        <f t="shared" si="64"/>
        <v>0.21094688334521192</v>
      </c>
      <c r="AC191" s="274">
        <f t="shared" si="64"/>
        <v>0.19714661994879618</v>
      </c>
      <c r="AD191" s="362"/>
    </row>
    <row r="192" spans="1:30" s="110" customFormat="1" ht="12">
      <c r="A192" s="107"/>
      <c r="B192" s="58"/>
      <c r="C192" s="108" t="s">
        <v>179</v>
      </c>
      <c r="D192" s="208"/>
      <c r="E192" s="216">
        <f>SUM(F192:AC192)</f>
        <v>689775.23434559721</v>
      </c>
      <c r="F192" s="109">
        <f>F188*F191</f>
        <v>-499087.85046728974</v>
      </c>
      <c r="G192" s="109">
        <f t="shared" ref="G192:AC192" si="65">G188*G191</f>
        <v>-78482.537833367154</v>
      </c>
      <c r="H192" s="109">
        <f t="shared" si="65"/>
        <v>105753.8844049496</v>
      </c>
      <c r="I192" s="109">
        <f t="shared" si="65"/>
        <v>99548.045356269227</v>
      </c>
      <c r="J192" s="109">
        <f t="shared" si="65"/>
        <v>93766.500101200174</v>
      </c>
      <c r="K192" s="109">
        <f t="shared" si="65"/>
        <v>88270.884465168085</v>
      </c>
      <c r="L192" s="109">
        <f t="shared" si="65"/>
        <v>83072.067780278448</v>
      </c>
      <c r="M192" s="109">
        <f t="shared" si="65"/>
        <v>78153.81925012912</v>
      </c>
      <c r="N192" s="109">
        <f t="shared" si="65"/>
        <v>72733.740033266222</v>
      </c>
      <c r="O192" s="109">
        <f t="shared" si="65"/>
        <v>67700.973087798906</v>
      </c>
      <c r="P192" s="109">
        <f t="shared" si="65"/>
        <v>63119.695217769389</v>
      </c>
      <c r="Q192" s="109">
        <f t="shared" si="65"/>
        <v>58847.850188389799</v>
      </c>
      <c r="R192" s="109">
        <f t="shared" si="65"/>
        <v>54865.209470450347</v>
      </c>
      <c r="S192" s="109">
        <f t="shared" si="65"/>
        <v>51151.606213166793</v>
      </c>
      <c r="T192" s="109">
        <f t="shared" si="65"/>
        <v>47689.434898037274</v>
      </c>
      <c r="U192" s="109">
        <f t="shared" si="65"/>
        <v>44461.175334754895</v>
      </c>
      <c r="V192" s="109">
        <f t="shared" si="65"/>
        <v>41451.505167058691</v>
      </c>
      <c r="W192" s="109">
        <f t="shared" si="65"/>
        <v>38645.20376504575</v>
      </c>
      <c r="X192" s="109">
        <f t="shared" si="65"/>
        <v>35100.05984642874</v>
      </c>
      <c r="Y192" s="109">
        <f t="shared" si="65"/>
        <v>32723.69464310378</v>
      </c>
      <c r="Z192" s="109">
        <f t="shared" si="65"/>
        <v>30519.769948040073</v>
      </c>
      <c r="AA192" s="109">
        <f t="shared" si="65"/>
        <v>28464.3337218708</v>
      </c>
      <c r="AB192" s="109">
        <f t="shared" si="65"/>
        <v>26547.106612837058</v>
      </c>
      <c r="AC192" s="392">
        <f t="shared" si="65"/>
        <v>24759.063140241044</v>
      </c>
      <c r="AD192" s="363">
        <f t="shared" si="55"/>
        <v>689775.23434559721</v>
      </c>
    </row>
    <row r="193" spans="1:30" s="53" customFormat="1" ht="12">
      <c r="A193" s="107"/>
      <c r="B193" s="58"/>
      <c r="C193" s="108"/>
      <c r="D193" s="208"/>
      <c r="E193" s="216"/>
      <c r="F193" s="109"/>
      <c r="G193" s="109"/>
      <c r="AC193" s="263"/>
      <c r="AD193" s="338"/>
    </row>
    <row r="194" spans="1:30" s="53" customFormat="1" ht="12">
      <c r="A194" s="45"/>
      <c r="B194" s="58"/>
      <c r="C194" s="282" t="s">
        <v>185</v>
      </c>
      <c r="D194" s="213"/>
      <c r="E194" s="303">
        <f>IRR(F188:AC188)</f>
        <v>0.17803209937736567</v>
      </c>
      <c r="F194" s="45"/>
      <c r="G194" s="57"/>
      <c r="AC194" s="263"/>
      <c r="AD194" s="338"/>
    </row>
    <row r="195" spans="1:30" s="113" customFormat="1" ht="12">
      <c r="A195" s="111"/>
      <c r="B195" s="58"/>
      <c r="C195" s="115"/>
      <c r="D195" s="117"/>
      <c r="E195" s="111"/>
      <c r="F195" s="112"/>
      <c r="G195" s="112"/>
      <c r="H195" s="112"/>
      <c r="I195" s="112"/>
      <c r="J195" s="112"/>
      <c r="K195" s="112"/>
      <c r="L195" s="112"/>
      <c r="M195" s="112"/>
      <c r="N195" s="112"/>
      <c r="O195" s="112"/>
      <c r="P195" s="112"/>
      <c r="Q195" s="112"/>
      <c r="R195" s="112"/>
      <c r="S195" s="112"/>
      <c r="T195" s="112"/>
      <c r="U195" s="112"/>
      <c r="V195" s="112"/>
      <c r="W195" s="112"/>
      <c r="X195" s="112"/>
      <c r="Y195" s="112"/>
      <c r="AC195" s="275"/>
      <c r="AD195" s="364"/>
    </row>
    <row r="196" spans="1:30" s="113" customFormat="1" ht="12">
      <c r="A196" s="111"/>
      <c r="B196" s="58"/>
      <c r="C196" s="118"/>
      <c r="D196" s="117"/>
      <c r="E196" s="111"/>
      <c r="F196" s="111"/>
      <c r="G196" s="114"/>
      <c r="AC196" s="275"/>
      <c r="AD196" s="364"/>
    </row>
    <row r="197" spans="1:30" s="113" customFormat="1" ht="12">
      <c r="A197" s="111"/>
      <c r="B197" s="111"/>
      <c r="C197" s="115"/>
      <c r="D197" s="119"/>
      <c r="E197" s="120"/>
      <c r="F197" s="120"/>
      <c r="G197" s="116"/>
      <c r="H197" s="116"/>
      <c r="I197" s="116"/>
      <c r="J197" s="116"/>
      <c r="K197" s="116"/>
      <c r="L197" s="116"/>
      <c r="M197" s="116"/>
      <c r="N197" s="116"/>
      <c r="O197" s="116"/>
      <c r="P197" s="116"/>
      <c r="Q197" s="116"/>
      <c r="R197" s="116"/>
      <c r="S197" s="116"/>
      <c r="T197" s="116"/>
      <c r="U197" s="116"/>
      <c r="V197" s="116"/>
      <c r="W197" s="116"/>
      <c r="X197" s="116"/>
      <c r="Y197" s="116"/>
      <c r="AC197" s="275"/>
      <c r="AD197" s="364"/>
    </row>
    <row r="198" spans="1:30" s="113" customFormat="1" ht="12">
      <c r="A198" s="111"/>
      <c r="B198" s="111"/>
      <c r="D198" s="121"/>
      <c r="E198" s="120"/>
      <c r="F198" s="120"/>
      <c r="G198" s="116"/>
      <c r="H198" s="116"/>
      <c r="I198" s="116"/>
      <c r="J198" s="116"/>
      <c r="K198" s="116"/>
      <c r="L198" s="116"/>
      <c r="M198" s="116"/>
      <c r="N198" s="116"/>
      <c r="O198" s="116"/>
      <c r="P198" s="116"/>
      <c r="Q198" s="116"/>
      <c r="R198" s="116"/>
      <c r="S198" s="116"/>
      <c r="T198" s="116"/>
      <c r="U198" s="116"/>
      <c r="V198" s="116"/>
      <c r="W198" s="116"/>
      <c r="X198" s="116"/>
      <c r="Y198" s="116"/>
      <c r="AC198" s="275"/>
      <c r="AD198" s="364"/>
    </row>
    <row r="199" spans="1:30">
      <c r="A199" s="25"/>
      <c r="B199" s="25"/>
      <c r="C199" s="52"/>
      <c r="D199" s="42"/>
      <c r="E199" s="42"/>
      <c r="F199" s="42"/>
    </row>
    <row r="200" spans="1:30">
      <c r="A200" s="25"/>
      <c r="B200" s="25"/>
      <c r="C200" s="52"/>
      <c r="D200" s="42"/>
      <c r="E200" s="42"/>
      <c r="F200" s="42"/>
    </row>
    <row r="201" spans="1:30">
      <c r="A201" s="25"/>
      <c r="B201" s="25"/>
      <c r="C201" s="52"/>
      <c r="D201" s="42"/>
      <c r="E201" s="42"/>
      <c r="F201" s="42"/>
    </row>
    <row r="202" spans="1:30" ht="15.75">
      <c r="C202" s="401" t="s">
        <v>1</v>
      </c>
      <c r="D202" s="418">
        <f>SUM(D203:D206)</f>
        <v>836.42750780980464</v>
      </c>
      <c r="E202" s="42"/>
      <c r="F202" s="42"/>
      <c r="G202" s="42"/>
      <c r="H202" s="42"/>
      <c r="I202" s="42"/>
      <c r="J202" s="42"/>
      <c r="K202" s="42"/>
      <c r="L202" s="42"/>
      <c r="M202" s="42"/>
      <c r="N202" s="42"/>
      <c r="O202" s="42"/>
      <c r="P202" s="42"/>
      <c r="Q202" s="42"/>
      <c r="R202" s="42"/>
      <c r="S202" s="42"/>
      <c r="T202" s="42"/>
      <c r="U202" s="42"/>
      <c r="V202" s="42"/>
      <c r="W202" s="42"/>
      <c r="X202" s="42"/>
      <c r="Y202" s="42"/>
      <c r="Z202" s="42"/>
      <c r="AA202" s="42"/>
      <c r="AB202" s="42"/>
      <c r="AC202" s="42"/>
    </row>
    <row r="203" spans="1:30" ht="15.75">
      <c r="C203" s="403" t="s">
        <v>196</v>
      </c>
      <c r="D203" s="416">
        <f>-SUM(F203:AC203)/1000</f>
        <v>575.42399999999998</v>
      </c>
      <c r="F203" s="422">
        <f>F6</f>
        <v>-534024</v>
      </c>
      <c r="G203" s="422">
        <f t="shared" ref="G203:AC203" si="66">G6</f>
        <v>-41400</v>
      </c>
      <c r="H203" s="422">
        <f t="shared" si="66"/>
        <v>0</v>
      </c>
      <c r="I203" s="422">
        <f t="shared" si="66"/>
        <v>0</v>
      </c>
      <c r="J203" s="422">
        <f t="shared" si="66"/>
        <v>0</v>
      </c>
      <c r="K203" s="422">
        <f t="shared" si="66"/>
        <v>0</v>
      </c>
      <c r="L203" s="422">
        <f t="shared" si="66"/>
        <v>0</v>
      </c>
      <c r="M203" s="422">
        <f t="shared" si="66"/>
        <v>0</v>
      </c>
      <c r="N203" s="422">
        <f t="shared" si="66"/>
        <v>0</v>
      </c>
      <c r="O203" s="422">
        <f t="shared" si="66"/>
        <v>0</v>
      </c>
      <c r="P203" s="422">
        <f t="shared" si="66"/>
        <v>0</v>
      </c>
      <c r="Q203" s="422">
        <f t="shared" si="66"/>
        <v>0</v>
      </c>
      <c r="R203" s="422">
        <f t="shared" si="66"/>
        <v>0</v>
      </c>
      <c r="S203" s="422">
        <f t="shared" si="66"/>
        <v>0</v>
      </c>
      <c r="T203" s="422">
        <f t="shared" si="66"/>
        <v>0</v>
      </c>
      <c r="U203" s="422">
        <f t="shared" si="66"/>
        <v>0</v>
      </c>
      <c r="V203" s="422">
        <f t="shared" si="66"/>
        <v>0</v>
      </c>
      <c r="W203" s="422">
        <f t="shared" si="66"/>
        <v>0</v>
      </c>
      <c r="X203" s="422">
        <f t="shared" si="66"/>
        <v>0</v>
      </c>
      <c r="Y203" s="422">
        <f t="shared" si="66"/>
        <v>0</v>
      </c>
      <c r="Z203" s="422">
        <f t="shared" si="66"/>
        <v>0</v>
      </c>
      <c r="AA203" s="422">
        <f t="shared" si="66"/>
        <v>0</v>
      </c>
      <c r="AB203" s="422">
        <f t="shared" si="66"/>
        <v>0</v>
      </c>
      <c r="AC203" s="422">
        <f t="shared" si="66"/>
        <v>0</v>
      </c>
    </row>
    <row r="204" spans="1:30" ht="15.75">
      <c r="C204" s="403" t="s">
        <v>197</v>
      </c>
      <c r="D204" s="416">
        <f>-SUM(F204:AC204)/1000</f>
        <v>0</v>
      </c>
      <c r="E204" s="42"/>
      <c r="F204" s="422">
        <f>F5</f>
        <v>0</v>
      </c>
      <c r="G204" s="422">
        <f t="shared" ref="G204:AC204" si="67">G5</f>
        <v>0</v>
      </c>
      <c r="H204" s="422">
        <f t="shared" si="67"/>
        <v>0</v>
      </c>
      <c r="I204" s="422">
        <f t="shared" si="67"/>
        <v>0</v>
      </c>
      <c r="J204" s="422">
        <f t="shared" si="67"/>
        <v>0</v>
      </c>
      <c r="K204" s="422">
        <f t="shared" si="67"/>
        <v>0</v>
      </c>
      <c r="L204" s="422">
        <f t="shared" si="67"/>
        <v>0</v>
      </c>
      <c r="M204" s="422">
        <f t="shared" si="67"/>
        <v>0</v>
      </c>
      <c r="N204" s="422">
        <f t="shared" si="67"/>
        <v>0</v>
      </c>
      <c r="O204" s="422">
        <f t="shared" si="67"/>
        <v>0</v>
      </c>
      <c r="P204" s="422">
        <f t="shared" si="67"/>
        <v>0</v>
      </c>
      <c r="Q204" s="422">
        <f t="shared" si="67"/>
        <v>0</v>
      </c>
      <c r="R204" s="422">
        <f t="shared" si="67"/>
        <v>0</v>
      </c>
      <c r="S204" s="422">
        <f t="shared" si="67"/>
        <v>0</v>
      </c>
      <c r="T204" s="422">
        <f t="shared" si="67"/>
        <v>0</v>
      </c>
      <c r="U204" s="422">
        <f t="shared" si="67"/>
        <v>0</v>
      </c>
      <c r="V204" s="422">
        <f t="shared" si="67"/>
        <v>0</v>
      </c>
      <c r="W204" s="422">
        <f t="shared" si="67"/>
        <v>0</v>
      </c>
      <c r="X204" s="422">
        <f t="shared" si="67"/>
        <v>0</v>
      </c>
      <c r="Y204" s="422">
        <f t="shared" si="67"/>
        <v>0</v>
      </c>
      <c r="Z204" s="422">
        <f t="shared" si="67"/>
        <v>0</v>
      </c>
      <c r="AA204" s="422">
        <f t="shared" si="67"/>
        <v>0</v>
      </c>
      <c r="AB204" s="422">
        <f t="shared" si="67"/>
        <v>0</v>
      </c>
      <c r="AC204" s="422">
        <f t="shared" si="67"/>
        <v>0</v>
      </c>
    </row>
    <row r="205" spans="1:30" ht="15.75">
      <c r="A205" s="25"/>
      <c r="B205" s="25"/>
      <c r="C205" s="404" t="s">
        <v>546</v>
      </c>
      <c r="D205" s="416">
        <f>-SUM(F205:AC205)/1000</f>
        <v>84.755330887761346</v>
      </c>
      <c r="E205" s="42"/>
      <c r="F205" s="422">
        <f>F119</f>
        <v>0</v>
      </c>
      <c r="G205" s="422">
        <f t="shared" ref="G205:AC205" si="68">G119</f>
        <v>-84755.330887761345</v>
      </c>
      <c r="H205" s="422">
        <f t="shared" si="68"/>
        <v>0</v>
      </c>
      <c r="I205" s="422">
        <f t="shared" si="68"/>
        <v>0</v>
      </c>
      <c r="J205" s="422">
        <f t="shared" si="68"/>
        <v>0</v>
      </c>
      <c r="K205" s="422">
        <f t="shared" si="68"/>
        <v>0</v>
      </c>
      <c r="L205" s="422">
        <f t="shared" si="68"/>
        <v>0</v>
      </c>
      <c r="M205" s="422">
        <f t="shared" si="68"/>
        <v>0</v>
      </c>
      <c r="N205" s="422">
        <f t="shared" si="68"/>
        <v>0</v>
      </c>
      <c r="O205" s="422">
        <f t="shared" si="68"/>
        <v>0</v>
      </c>
      <c r="P205" s="422">
        <f t="shared" si="68"/>
        <v>0</v>
      </c>
      <c r="Q205" s="422">
        <f t="shared" si="68"/>
        <v>0</v>
      </c>
      <c r="R205" s="422">
        <f t="shared" si="68"/>
        <v>0</v>
      </c>
      <c r="S205" s="422">
        <f t="shared" si="68"/>
        <v>0</v>
      </c>
      <c r="T205" s="422">
        <f t="shared" si="68"/>
        <v>0</v>
      </c>
      <c r="U205" s="422">
        <f t="shared" si="68"/>
        <v>0</v>
      </c>
      <c r="V205" s="422">
        <f t="shared" si="68"/>
        <v>0</v>
      </c>
      <c r="W205" s="422">
        <f t="shared" si="68"/>
        <v>0</v>
      </c>
      <c r="X205" s="422">
        <f t="shared" si="68"/>
        <v>0</v>
      </c>
      <c r="Y205" s="422">
        <f t="shared" si="68"/>
        <v>0</v>
      </c>
      <c r="Z205" s="422">
        <f t="shared" si="68"/>
        <v>0</v>
      </c>
      <c r="AA205" s="422">
        <f t="shared" si="68"/>
        <v>0</v>
      </c>
      <c r="AB205" s="422">
        <f t="shared" si="68"/>
        <v>0</v>
      </c>
      <c r="AC205" s="422">
        <f t="shared" si="68"/>
        <v>0</v>
      </c>
    </row>
    <row r="206" spans="1:30" ht="15.75">
      <c r="C206" s="403" t="s">
        <v>198</v>
      </c>
      <c r="D206" s="416">
        <f>-SUM(F206:AC206)/1000</f>
        <v>176.24817692204326</v>
      </c>
      <c r="E206" s="43"/>
      <c r="F206" s="422">
        <f>F153+F155+F166+F168</f>
        <v>0</v>
      </c>
      <c r="G206" s="422">
        <f t="shared" ref="G206:AC206" si="69">G153+G155+G166+G168</f>
        <v>-7482.3071925401264</v>
      </c>
      <c r="H206" s="422">
        <f t="shared" si="69"/>
        <v>-7551.5909805144765</v>
      </c>
      <c r="I206" s="422">
        <f t="shared" si="69"/>
        <v>-7620.8747684888231</v>
      </c>
      <c r="J206" s="422">
        <f t="shared" si="69"/>
        <v>-7690.1585564631714</v>
      </c>
      <c r="K206" s="422">
        <f t="shared" si="69"/>
        <v>-7759.4423444375234</v>
      </c>
      <c r="L206" s="422">
        <f t="shared" si="69"/>
        <v>-7828.7261324118708</v>
      </c>
      <c r="M206" s="422">
        <f t="shared" si="69"/>
        <v>-7898.0099203862183</v>
      </c>
      <c r="N206" s="422">
        <f t="shared" si="69"/>
        <v>-7877.6326101594832</v>
      </c>
      <c r="O206" s="422">
        <f t="shared" si="69"/>
        <v>-7857.2552999327445</v>
      </c>
      <c r="P206" s="422">
        <f t="shared" si="69"/>
        <v>-7836.8779897060076</v>
      </c>
      <c r="Q206" s="422">
        <f t="shared" si="69"/>
        <v>-7816.5006794792725</v>
      </c>
      <c r="R206" s="422">
        <f t="shared" si="69"/>
        <v>-7796.1233692525348</v>
      </c>
      <c r="S206" s="422">
        <f t="shared" si="69"/>
        <v>-7775.7460590257961</v>
      </c>
      <c r="T206" s="422">
        <f t="shared" si="69"/>
        <v>-7755.3687487990592</v>
      </c>
      <c r="U206" s="422">
        <f t="shared" si="69"/>
        <v>-7734.9914385723196</v>
      </c>
      <c r="V206" s="422">
        <f t="shared" si="69"/>
        <v>-7714.6141283455836</v>
      </c>
      <c r="W206" s="422">
        <f t="shared" si="69"/>
        <v>-7694.236818118844</v>
      </c>
      <c r="X206" s="422">
        <f t="shared" si="69"/>
        <v>-7475.9070495220549</v>
      </c>
      <c r="Y206" s="422">
        <f t="shared" si="69"/>
        <v>-7456.0588887405283</v>
      </c>
      <c r="Z206" s="422">
        <f t="shared" si="69"/>
        <v>-7436.2107279590027</v>
      </c>
      <c r="AA206" s="422">
        <f t="shared" si="69"/>
        <v>-7416.3625671774762</v>
      </c>
      <c r="AB206" s="422">
        <f t="shared" si="69"/>
        <v>-7396.5144063959515</v>
      </c>
      <c r="AC206" s="422">
        <f t="shared" si="69"/>
        <v>-7376.6662456144222</v>
      </c>
    </row>
    <row r="207" spans="1:30" ht="15.75">
      <c r="C207" s="402"/>
      <c r="D207" s="417"/>
      <c r="F207" s="414">
        <f>SUM(F203:F206)</f>
        <v>-534024</v>
      </c>
      <c r="G207" s="414">
        <f t="shared" ref="G207:AC207" si="70">SUM(G203:G206)</f>
        <v>-133637.63808030146</v>
      </c>
      <c r="H207" s="414">
        <f t="shared" si="70"/>
        <v>-7551.5909805144765</v>
      </c>
      <c r="I207" s="414">
        <f t="shared" si="70"/>
        <v>-7620.8747684888231</v>
      </c>
      <c r="J207" s="414">
        <f t="shared" si="70"/>
        <v>-7690.1585564631714</v>
      </c>
      <c r="K207" s="414">
        <f t="shared" si="70"/>
        <v>-7759.4423444375234</v>
      </c>
      <c r="L207" s="414">
        <f t="shared" si="70"/>
        <v>-7828.7261324118708</v>
      </c>
      <c r="M207" s="414">
        <f t="shared" si="70"/>
        <v>-7898.0099203862183</v>
      </c>
      <c r="N207" s="414">
        <f t="shared" si="70"/>
        <v>-7877.6326101594832</v>
      </c>
      <c r="O207" s="414">
        <f t="shared" si="70"/>
        <v>-7857.2552999327445</v>
      </c>
      <c r="P207" s="414">
        <f t="shared" si="70"/>
        <v>-7836.8779897060076</v>
      </c>
      <c r="Q207" s="414">
        <f t="shared" si="70"/>
        <v>-7816.5006794792725</v>
      </c>
      <c r="R207" s="414">
        <f t="shared" si="70"/>
        <v>-7796.1233692525348</v>
      </c>
      <c r="S207" s="414">
        <f t="shared" si="70"/>
        <v>-7775.7460590257961</v>
      </c>
      <c r="T207" s="414">
        <f t="shared" si="70"/>
        <v>-7755.3687487990592</v>
      </c>
      <c r="U207" s="414">
        <f t="shared" si="70"/>
        <v>-7734.9914385723196</v>
      </c>
      <c r="V207" s="414">
        <f t="shared" si="70"/>
        <v>-7714.6141283455836</v>
      </c>
      <c r="W207" s="414">
        <f t="shared" si="70"/>
        <v>-7694.236818118844</v>
      </c>
      <c r="X207" s="414">
        <f t="shared" si="70"/>
        <v>-7475.9070495220549</v>
      </c>
      <c r="Y207" s="414">
        <f t="shared" si="70"/>
        <v>-7456.0588887405283</v>
      </c>
      <c r="Z207" s="414">
        <f t="shared" si="70"/>
        <v>-7436.2107279590027</v>
      </c>
      <c r="AA207" s="414">
        <f t="shared" si="70"/>
        <v>-7416.3625671774762</v>
      </c>
      <c r="AB207" s="414">
        <f t="shared" si="70"/>
        <v>-7396.5144063959515</v>
      </c>
      <c r="AC207" s="414">
        <f t="shared" si="70"/>
        <v>-7376.6662456144222</v>
      </c>
    </row>
    <row r="208" spans="1:30" ht="15.75">
      <c r="C208" s="401" t="s">
        <v>0</v>
      </c>
      <c r="D208" s="418">
        <f>SUM(D209:D215)</f>
        <v>3082.5254830604053</v>
      </c>
      <c r="G208" s="25"/>
      <c r="H208" s="25"/>
      <c r="I208" s="25"/>
      <c r="J208" s="25"/>
      <c r="K208" s="25"/>
      <c r="L208" s="25"/>
      <c r="M208" s="25"/>
      <c r="N208" s="25"/>
      <c r="O208" s="25"/>
      <c r="P208" s="25"/>
      <c r="Q208" s="25"/>
      <c r="R208" s="25"/>
      <c r="S208" s="25"/>
      <c r="T208" s="25"/>
      <c r="U208" s="25"/>
      <c r="V208" s="25"/>
      <c r="W208" s="25"/>
      <c r="X208" s="25"/>
      <c r="Y208" s="25"/>
      <c r="Z208" s="25"/>
      <c r="AA208" s="25"/>
      <c r="AB208" s="25"/>
      <c r="AC208" s="25"/>
    </row>
    <row r="209" spans="3:29" ht="15.75">
      <c r="C209" s="403" t="s">
        <v>577</v>
      </c>
      <c r="D209" s="416">
        <f t="shared" ref="D209:D215" si="71">SUM(F209:AC209)/1000</f>
        <v>312.41731387301832</v>
      </c>
      <c r="F209" s="423">
        <f>F45+F57+F71+F84</f>
        <v>0</v>
      </c>
      <c r="G209" s="423">
        <f t="shared" ref="G209:AC209" si="72">G45+G57+G71+G84</f>
        <v>-16970.989443659295</v>
      </c>
      <c r="H209" s="423">
        <f t="shared" si="72"/>
        <v>14264.246355367686</v>
      </c>
      <c r="I209" s="423">
        <f t="shared" si="72"/>
        <v>14439.006351926233</v>
      </c>
      <c r="J209" s="423">
        <f t="shared" si="72"/>
        <v>14614.871069733212</v>
      </c>
      <c r="K209" s="423">
        <f t="shared" si="72"/>
        <v>14791.852023893265</v>
      </c>
      <c r="L209" s="423">
        <f t="shared" si="72"/>
        <v>14969.960890106515</v>
      </c>
      <c r="M209" s="423">
        <f t="shared" si="72"/>
        <v>15149.209507478094</v>
      </c>
      <c r="N209" s="423">
        <f t="shared" si="72"/>
        <v>15157.095887642958</v>
      </c>
      <c r="O209" s="423">
        <f t="shared" si="72"/>
        <v>15165.069414183477</v>
      </c>
      <c r="P209" s="423">
        <f t="shared" si="72"/>
        <v>15173.131011533056</v>
      </c>
      <c r="Q209" s="423">
        <f t="shared" si="72"/>
        <v>15181.281617246457</v>
      </c>
      <c r="R209" s="423">
        <f t="shared" si="72"/>
        <v>15189.522182233422</v>
      </c>
      <c r="S209" s="423">
        <f t="shared" si="72"/>
        <v>15197.853670997374</v>
      </c>
      <c r="T209" s="423">
        <f t="shared" si="72"/>
        <v>15206.277061879118</v>
      </c>
      <c r="U209" s="423">
        <f t="shared" si="72"/>
        <v>15214.793347305946</v>
      </c>
      <c r="V209" s="423">
        <f t="shared" si="72"/>
        <v>15223.403534046069</v>
      </c>
      <c r="W209" s="423">
        <f t="shared" si="72"/>
        <v>15232.108643468571</v>
      </c>
      <c r="X209" s="423">
        <f t="shared" si="72"/>
        <v>14847.760014170515</v>
      </c>
      <c r="Y209" s="423">
        <f t="shared" si="72"/>
        <v>14856.435540176513</v>
      </c>
      <c r="Z209" s="423">
        <f t="shared" si="72"/>
        <v>14865.206658818779</v>
      </c>
      <c r="AA209" s="423">
        <f t="shared" si="72"/>
        <v>14874.074425164363</v>
      </c>
      <c r="AB209" s="423">
        <f t="shared" si="72"/>
        <v>14883.039909864168</v>
      </c>
      <c r="AC209" s="423">
        <f t="shared" si="72"/>
        <v>14892.104199441754</v>
      </c>
    </row>
    <row r="210" spans="3:29" ht="15.75">
      <c r="C210" s="403" t="s">
        <v>578</v>
      </c>
      <c r="D210" s="416">
        <f t="shared" si="71"/>
        <v>411.79234617730765</v>
      </c>
      <c r="F210" s="422">
        <f>F64+F91</f>
        <v>0</v>
      </c>
      <c r="G210" s="422">
        <f t="shared" ref="G210:AC210" si="73">G64+G91</f>
        <v>17481.921727895522</v>
      </c>
      <c r="H210" s="422">
        <f t="shared" si="73"/>
        <v>17643.798770258509</v>
      </c>
      <c r="I210" s="422">
        <f t="shared" si="73"/>
        <v>17805.675812621488</v>
      </c>
      <c r="J210" s="422">
        <f t="shared" si="73"/>
        <v>17967.552854984475</v>
      </c>
      <c r="K210" s="422">
        <f t="shared" si="73"/>
        <v>18129.429897347462</v>
      </c>
      <c r="L210" s="422">
        <f t="shared" si="73"/>
        <v>18291.306939710441</v>
      </c>
      <c r="M210" s="422">
        <f t="shared" si="73"/>
        <v>18453.18398207342</v>
      </c>
      <c r="N210" s="422">
        <f t="shared" si="73"/>
        <v>18405.573728545744</v>
      </c>
      <c r="O210" s="422">
        <f t="shared" si="73"/>
        <v>18357.963475018052</v>
      </c>
      <c r="P210" s="422">
        <f t="shared" si="73"/>
        <v>18310.353221490368</v>
      </c>
      <c r="Q210" s="422">
        <f t="shared" si="73"/>
        <v>18262.742967962688</v>
      </c>
      <c r="R210" s="422">
        <f t="shared" si="73"/>
        <v>18215.132714434996</v>
      </c>
      <c r="S210" s="422">
        <f t="shared" si="73"/>
        <v>18167.522460907312</v>
      </c>
      <c r="T210" s="422">
        <f t="shared" si="73"/>
        <v>18119.912207379624</v>
      </c>
      <c r="U210" s="422">
        <f t="shared" si="73"/>
        <v>18072.301953851937</v>
      </c>
      <c r="V210" s="422">
        <f t="shared" si="73"/>
        <v>18024.691700324245</v>
      </c>
      <c r="W210" s="422">
        <f t="shared" si="73"/>
        <v>17977.081446796557</v>
      </c>
      <c r="X210" s="422">
        <f t="shared" si="73"/>
        <v>17466.968212033356</v>
      </c>
      <c r="Y210" s="422">
        <f t="shared" si="73"/>
        <v>17420.594281600337</v>
      </c>
      <c r="Z210" s="422">
        <f t="shared" si="73"/>
        <v>17374.220351167321</v>
      </c>
      <c r="AA210" s="422">
        <f t="shared" si="73"/>
        <v>17327.846420734299</v>
      </c>
      <c r="AB210" s="422">
        <f t="shared" si="73"/>
        <v>17281.472490301283</v>
      </c>
      <c r="AC210" s="422">
        <f t="shared" si="73"/>
        <v>17235.09855986826</v>
      </c>
    </row>
    <row r="211" spans="3:29" ht="15.75">
      <c r="C211" s="403" t="s">
        <v>199</v>
      </c>
      <c r="D211" s="416">
        <f t="shared" si="71"/>
        <v>13.395964879590194</v>
      </c>
      <c r="F211" s="422">
        <f>F108</f>
        <v>0</v>
      </c>
      <c r="G211" s="422">
        <f t="shared" ref="G211:AC211" si="74">G108</f>
        <v>323.09531251279361</v>
      </c>
      <c r="H211" s="422">
        <f t="shared" si="74"/>
        <v>347.68324246720272</v>
      </c>
      <c r="I211" s="422">
        <f t="shared" si="74"/>
        <v>372.81785441541791</v>
      </c>
      <c r="J211" s="422">
        <f t="shared" si="74"/>
        <v>398.50482698785243</v>
      </c>
      <c r="K211" s="422">
        <f t="shared" si="74"/>
        <v>424.74991773681887</v>
      </c>
      <c r="L211" s="422">
        <f t="shared" si="74"/>
        <v>451.5589645123851</v>
      </c>
      <c r="M211" s="422">
        <f t="shared" si="74"/>
        <v>478.93788686711844</v>
      </c>
      <c r="N211" s="422">
        <f t="shared" si="74"/>
        <v>501.18829692892791</v>
      </c>
      <c r="O211" s="422">
        <f t="shared" si="74"/>
        <v>523.48228017856889</v>
      </c>
      <c r="P211" s="422">
        <f t="shared" si="74"/>
        <v>545.8202988327381</v>
      </c>
      <c r="Q211" s="422">
        <f t="shared" si="74"/>
        <v>568.20282166881498</v>
      </c>
      <c r="R211" s="422">
        <f t="shared" si="74"/>
        <v>590.63032414168129</v>
      </c>
      <c r="S211" s="422">
        <f t="shared" si="74"/>
        <v>613.1032885030337</v>
      </c>
      <c r="T211" s="422">
        <f t="shared" si="74"/>
        <v>635.62220392328402</v>
      </c>
      <c r="U211" s="422">
        <f t="shared" si="74"/>
        <v>658.18756661608086</v>
      </c>
      <c r="V211" s="422">
        <f t="shared" si="74"/>
        <v>680.7998799655204</v>
      </c>
      <c r="W211" s="422">
        <f t="shared" si="74"/>
        <v>703.45965465615075</v>
      </c>
      <c r="X211" s="422">
        <f t="shared" si="74"/>
        <v>707.43542347122445</v>
      </c>
      <c r="Y211" s="422">
        <f t="shared" si="74"/>
        <v>729.60501224368659</v>
      </c>
      <c r="Z211" s="422">
        <f t="shared" si="74"/>
        <v>751.82239733428514</v>
      </c>
      <c r="AA211" s="422">
        <f t="shared" si="74"/>
        <v>774.08810627653975</v>
      </c>
      <c r="AB211" s="422">
        <f t="shared" si="74"/>
        <v>796.40267439590457</v>
      </c>
      <c r="AC211" s="422">
        <f t="shared" si="74"/>
        <v>818.76664495416298</v>
      </c>
    </row>
    <row r="212" spans="3:29" ht="15.75">
      <c r="C212" s="403" t="s">
        <v>200</v>
      </c>
      <c r="D212" s="416">
        <f t="shared" si="71"/>
        <v>1405.6217638161497</v>
      </c>
      <c r="F212" s="422">
        <f>F121-F119</f>
        <v>0</v>
      </c>
      <c r="G212" s="422">
        <f t="shared" ref="G212:AC212" si="75">G121-G119</f>
        <v>1017.2394501067465</v>
      </c>
      <c r="H212" s="422">
        <f t="shared" si="75"/>
        <v>62850.378897067669</v>
      </c>
      <c r="I212" s="422">
        <f t="shared" si="75"/>
        <v>63427.013984541009</v>
      </c>
      <c r="J212" s="422">
        <f t="shared" si="75"/>
        <v>64003.649072014348</v>
      </c>
      <c r="K212" s="422">
        <f t="shared" si="75"/>
        <v>64580.284159487717</v>
      </c>
      <c r="L212" s="422">
        <f t="shared" si="75"/>
        <v>65156.919246961064</v>
      </c>
      <c r="M212" s="422">
        <f t="shared" si="75"/>
        <v>65733.554334434404</v>
      </c>
      <c r="N212" s="422">
        <f t="shared" si="75"/>
        <v>65563.958063667349</v>
      </c>
      <c r="O212" s="422">
        <f t="shared" si="75"/>
        <v>65394.361792900265</v>
      </c>
      <c r="P212" s="422">
        <f t="shared" si="75"/>
        <v>65224.765522133202</v>
      </c>
      <c r="Q212" s="422">
        <f t="shared" si="75"/>
        <v>65055.169251366147</v>
      </c>
      <c r="R212" s="422">
        <f t="shared" si="75"/>
        <v>64885.572980599049</v>
      </c>
      <c r="S212" s="422">
        <f t="shared" si="75"/>
        <v>64715.976709831972</v>
      </c>
      <c r="T212" s="422">
        <f t="shared" si="75"/>
        <v>64546.380439064902</v>
      </c>
      <c r="U212" s="422">
        <f t="shared" si="75"/>
        <v>64376.784168297803</v>
      </c>
      <c r="V212" s="422">
        <f t="shared" si="75"/>
        <v>64207.187897530726</v>
      </c>
      <c r="W212" s="422">
        <f t="shared" si="75"/>
        <v>64037.591626763657</v>
      </c>
      <c r="X212" s="422">
        <f t="shared" si="75"/>
        <v>62220.476701415493</v>
      </c>
      <c r="Y212" s="422">
        <f t="shared" si="75"/>
        <v>62055.284435474758</v>
      </c>
      <c r="Z212" s="422">
        <f t="shared" si="75"/>
        <v>61890.092169534022</v>
      </c>
      <c r="AA212" s="422">
        <f t="shared" si="75"/>
        <v>61724.899903593272</v>
      </c>
      <c r="AB212" s="422">
        <f t="shared" si="75"/>
        <v>61559.707637652537</v>
      </c>
      <c r="AC212" s="422">
        <f t="shared" si="75"/>
        <v>61394.515371711786</v>
      </c>
    </row>
    <row r="213" spans="3:29" ht="15.75">
      <c r="C213" s="403" t="s">
        <v>201</v>
      </c>
      <c r="D213" s="416">
        <f t="shared" si="71"/>
        <v>120.1214561133917</v>
      </c>
      <c r="F213" s="422">
        <f>F141+F124</f>
        <v>0</v>
      </c>
      <c r="G213" s="422">
        <f t="shared" ref="G213:AC213" si="76">G141+G124</f>
        <v>7155.0062191147817</v>
      </c>
      <c r="H213" s="422">
        <f t="shared" si="76"/>
        <v>6899.8110166463866</v>
      </c>
      <c r="I213" s="422">
        <f t="shared" si="76"/>
        <v>6642.7916465907783</v>
      </c>
      <c r="J213" s="422">
        <f t="shared" si="76"/>
        <v>6475.1766937818047</v>
      </c>
      <c r="K213" s="422">
        <f t="shared" si="76"/>
        <v>6239.1295469339866</v>
      </c>
      <c r="L213" s="422">
        <f t="shared" si="76"/>
        <v>5967.7541820899432</v>
      </c>
      <c r="M213" s="422">
        <f t="shared" si="76"/>
        <v>5657.1015199327594</v>
      </c>
      <c r="N213" s="422">
        <f t="shared" si="76"/>
        <v>5353.7070854903523</v>
      </c>
      <c r="O213" s="422">
        <f t="shared" si="76"/>
        <v>5075.026331764464</v>
      </c>
      <c r="P213" s="422">
        <f t="shared" si="76"/>
        <v>5015.7193984724026</v>
      </c>
      <c r="Q213" s="422">
        <f t="shared" si="76"/>
        <v>4955.7458594556756</v>
      </c>
      <c r="R213" s="422">
        <f t="shared" si="76"/>
        <v>4896.6353704214607</v>
      </c>
      <c r="S213" s="422">
        <f t="shared" si="76"/>
        <v>4836.8837234636494</v>
      </c>
      <c r="T213" s="422">
        <f t="shared" si="76"/>
        <v>4777.9730759473605</v>
      </c>
      <c r="U213" s="422">
        <f t="shared" si="76"/>
        <v>4718.4465016334052</v>
      </c>
      <c r="V213" s="422">
        <f t="shared" si="76"/>
        <v>4659.7390732758804</v>
      </c>
      <c r="W213" s="422">
        <f t="shared" si="76"/>
        <v>4600.4407323098185</v>
      </c>
      <c r="X213" s="422">
        <f t="shared" si="76"/>
        <v>4426.639326446134</v>
      </c>
      <c r="Y213" s="422">
        <f t="shared" si="76"/>
        <v>4369.8034954159384</v>
      </c>
      <c r="Z213" s="422">
        <f t="shared" si="76"/>
        <v>4361.4228964979065</v>
      </c>
      <c r="AA213" s="422">
        <f t="shared" si="76"/>
        <v>4353.6814497375544</v>
      </c>
      <c r="AB213" s="422">
        <f t="shared" si="76"/>
        <v>4345.2888742104024</v>
      </c>
      <c r="AC213" s="422">
        <f t="shared" si="76"/>
        <v>4337.5320937588704</v>
      </c>
    </row>
    <row r="214" spans="3:29" ht="15.75">
      <c r="C214" s="403" t="s">
        <v>579</v>
      </c>
      <c r="D214" s="416">
        <f t="shared" si="71"/>
        <v>2.7618271285185382E-2</v>
      </c>
      <c r="F214" s="422">
        <f>F146</f>
        <v>0</v>
      </c>
      <c r="G214" s="422">
        <f t="shared" ref="G214:AC214" si="77">G146</f>
        <v>1.1724852619273909</v>
      </c>
      <c r="H214" s="422">
        <f t="shared" si="77"/>
        <v>1.1833421030326876</v>
      </c>
      <c r="I214" s="422">
        <f t="shared" si="77"/>
        <v>1.1941989441379841</v>
      </c>
      <c r="J214" s="422">
        <f t="shared" si="77"/>
        <v>1.2050557852432808</v>
      </c>
      <c r="K214" s="422">
        <f t="shared" si="77"/>
        <v>1.2159126263485773</v>
      </c>
      <c r="L214" s="422">
        <f t="shared" si="77"/>
        <v>1.2267694674538741</v>
      </c>
      <c r="M214" s="422">
        <f t="shared" si="77"/>
        <v>1.2376263085591706</v>
      </c>
      <c r="N214" s="422">
        <f t="shared" si="77"/>
        <v>1.2344331630087726</v>
      </c>
      <c r="O214" s="422">
        <f t="shared" si="77"/>
        <v>1.2312400174583742</v>
      </c>
      <c r="P214" s="422">
        <f t="shared" si="77"/>
        <v>1.228046871907976</v>
      </c>
      <c r="Q214" s="422">
        <f t="shared" si="77"/>
        <v>1.2248537263575781</v>
      </c>
      <c r="R214" s="422">
        <f t="shared" si="77"/>
        <v>1.2216605808071799</v>
      </c>
      <c r="S214" s="422">
        <f t="shared" si="77"/>
        <v>1.2184674352567819</v>
      </c>
      <c r="T214" s="422">
        <f t="shared" si="77"/>
        <v>1.2152742897063837</v>
      </c>
      <c r="U214" s="422">
        <f t="shared" si="77"/>
        <v>1.2120811441559851</v>
      </c>
      <c r="V214" s="422">
        <f t="shared" si="77"/>
        <v>1.2088879986055867</v>
      </c>
      <c r="W214" s="422">
        <f t="shared" si="77"/>
        <v>1.2056948530551885</v>
      </c>
      <c r="X214" s="422">
        <f t="shared" si="77"/>
        <v>1.1714823529088467</v>
      </c>
      <c r="Y214" s="422">
        <f t="shared" si="77"/>
        <v>1.1683721256228157</v>
      </c>
      <c r="Z214" s="422">
        <f t="shared" si="77"/>
        <v>1.1652618983367846</v>
      </c>
      <c r="AA214" s="422">
        <f t="shared" si="77"/>
        <v>1.1621516710507536</v>
      </c>
      <c r="AB214" s="422">
        <f t="shared" si="77"/>
        <v>1.1590414437647225</v>
      </c>
      <c r="AC214" s="422">
        <f t="shared" si="77"/>
        <v>1.1559312164786912</v>
      </c>
    </row>
    <row r="215" spans="3:29" ht="15.75">
      <c r="C215" s="403" t="s">
        <v>202</v>
      </c>
      <c r="D215" s="416">
        <f t="shared" si="71"/>
        <v>819.14901992966259</v>
      </c>
      <c r="F215" s="422">
        <f>F159+F161+F172+F174+F178+F180+F182</f>
        <v>0</v>
      </c>
      <c r="G215" s="422">
        <f t="shared" ref="G215:AC215" si="78">G159+G161+G172+G174+G178+G180+G182</f>
        <v>34775.534763646923</v>
      </c>
      <c r="H215" s="422">
        <f t="shared" si="78"/>
        <v>35097.545169696714</v>
      </c>
      <c r="I215" s="422">
        <f t="shared" si="78"/>
        <v>35419.555575746512</v>
      </c>
      <c r="J215" s="422">
        <f t="shared" si="78"/>
        <v>35741.565981796288</v>
      </c>
      <c r="K215" s="422">
        <f t="shared" si="78"/>
        <v>36063.576387846086</v>
      </c>
      <c r="L215" s="422">
        <f t="shared" si="78"/>
        <v>36385.586793895876</v>
      </c>
      <c r="M215" s="422">
        <f t="shared" si="78"/>
        <v>36707.597199945667</v>
      </c>
      <c r="N215" s="422">
        <f t="shared" si="78"/>
        <v>36612.88953265208</v>
      </c>
      <c r="O215" s="422">
        <f t="shared" si="78"/>
        <v>36518.181865358492</v>
      </c>
      <c r="P215" s="422">
        <f t="shared" si="78"/>
        <v>36423.474198064898</v>
      </c>
      <c r="Q215" s="422">
        <f t="shared" si="78"/>
        <v>36328.766530771318</v>
      </c>
      <c r="R215" s="422">
        <f t="shared" si="78"/>
        <v>36234.058863477723</v>
      </c>
      <c r="S215" s="422">
        <f t="shared" si="78"/>
        <v>36139.351196184129</v>
      </c>
      <c r="T215" s="422">
        <f t="shared" si="78"/>
        <v>36044.643528890549</v>
      </c>
      <c r="U215" s="422">
        <f t="shared" si="78"/>
        <v>35949.935861596947</v>
      </c>
      <c r="V215" s="422">
        <f t="shared" si="78"/>
        <v>35855.228194303345</v>
      </c>
      <c r="W215" s="422">
        <f t="shared" si="78"/>
        <v>35760.520527009758</v>
      </c>
      <c r="X215" s="422">
        <f t="shared" si="78"/>
        <v>34745.788805576776</v>
      </c>
      <c r="Y215" s="422">
        <f t="shared" si="78"/>
        <v>34653.540467264698</v>
      </c>
      <c r="Z215" s="422">
        <f t="shared" si="78"/>
        <v>34561.292128952598</v>
      </c>
      <c r="AA215" s="422">
        <f t="shared" si="78"/>
        <v>34469.043790640506</v>
      </c>
      <c r="AB215" s="422">
        <f t="shared" si="78"/>
        <v>34376.795452328413</v>
      </c>
      <c r="AC215" s="422">
        <f t="shared" si="78"/>
        <v>34284.547114016328</v>
      </c>
    </row>
    <row r="216" spans="3:29" ht="15.75">
      <c r="C216" s="402"/>
      <c r="D216" s="417"/>
      <c r="F216" s="413">
        <f>SUM(F209:F215)</f>
        <v>0</v>
      </c>
      <c r="G216" s="413">
        <f t="shared" ref="G216:AC216" si="79">SUM(G209:G215)</f>
        <v>43782.980514879397</v>
      </c>
      <c r="H216" s="413">
        <f t="shared" si="79"/>
        <v>137104.64679360719</v>
      </c>
      <c r="I216" s="413">
        <f t="shared" si="79"/>
        <v>138108.05542478559</v>
      </c>
      <c r="J216" s="413">
        <f t="shared" si="79"/>
        <v>139202.52555508324</v>
      </c>
      <c r="K216" s="413">
        <f t="shared" si="79"/>
        <v>140230.23784587166</v>
      </c>
      <c r="L216" s="413">
        <f t="shared" si="79"/>
        <v>141224.31378674367</v>
      </c>
      <c r="M216" s="413">
        <f t="shared" si="79"/>
        <v>142180.82205704003</v>
      </c>
      <c r="N216" s="413">
        <f t="shared" si="79"/>
        <v>141595.64702809043</v>
      </c>
      <c r="O216" s="413">
        <f t="shared" si="79"/>
        <v>141035.31639942079</v>
      </c>
      <c r="P216" s="413">
        <f t="shared" si="79"/>
        <v>140694.49169739857</v>
      </c>
      <c r="Q216" s="413">
        <f t="shared" si="79"/>
        <v>140353.13390219747</v>
      </c>
      <c r="R216" s="413">
        <f t="shared" si="79"/>
        <v>140012.77409588912</v>
      </c>
      <c r="S216" s="413">
        <f t="shared" si="79"/>
        <v>139671.90951732273</v>
      </c>
      <c r="T216" s="413">
        <f t="shared" si="79"/>
        <v>139332.02379137452</v>
      </c>
      <c r="U216" s="413">
        <f t="shared" si="79"/>
        <v>138991.66148044626</v>
      </c>
      <c r="V216" s="413">
        <f t="shared" si="79"/>
        <v>138652.25916744437</v>
      </c>
      <c r="W216" s="413">
        <f t="shared" si="79"/>
        <v>138312.40832585757</v>
      </c>
      <c r="X216" s="413">
        <f t="shared" si="79"/>
        <v>134416.2399654664</v>
      </c>
      <c r="Y216" s="413">
        <f t="shared" si="79"/>
        <v>134086.43160430156</v>
      </c>
      <c r="Z216" s="413">
        <f t="shared" si="79"/>
        <v>133805.22186420325</v>
      </c>
      <c r="AA216" s="413">
        <f t="shared" si="79"/>
        <v>133524.79624781758</v>
      </c>
      <c r="AB216" s="413">
        <f t="shared" si="79"/>
        <v>133243.86608019646</v>
      </c>
      <c r="AC216" s="413">
        <f t="shared" si="79"/>
        <v>132963.71991496763</v>
      </c>
    </row>
    <row r="217" spans="3:29" ht="15.75">
      <c r="C217" s="401" t="s">
        <v>182</v>
      </c>
      <c r="D217" s="418"/>
      <c r="G217" s="25"/>
      <c r="H217" s="25"/>
      <c r="I217" s="25"/>
      <c r="J217" s="25"/>
      <c r="K217" s="25"/>
      <c r="L217" s="25"/>
      <c r="M217" s="25"/>
      <c r="N217" s="25"/>
      <c r="O217" s="25"/>
      <c r="P217" s="25"/>
      <c r="Q217" s="25"/>
      <c r="R217" s="25"/>
      <c r="S217" s="25"/>
      <c r="T217" s="25"/>
      <c r="U217" s="25"/>
      <c r="V217" s="25"/>
      <c r="W217" s="25"/>
      <c r="X217" s="25"/>
      <c r="Y217" s="25"/>
      <c r="Z217" s="25"/>
      <c r="AA217" s="25"/>
      <c r="AB217" s="25"/>
      <c r="AC217" s="25"/>
    </row>
    <row r="218" spans="3:29" ht="15.75">
      <c r="C218" s="401" t="s">
        <v>183</v>
      </c>
      <c r="D218" s="419">
        <f>IRR(F218:AC218)</f>
        <v>0.17803209937736583</v>
      </c>
      <c r="F218" s="415">
        <f>F207+F216</f>
        <v>-534024</v>
      </c>
      <c r="G218" s="415">
        <f t="shared" ref="G218:AC218" si="80">G207+G216</f>
        <v>-89854.657565422065</v>
      </c>
      <c r="H218" s="415">
        <f t="shared" si="80"/>
        <v>129553.05581309271</v>
      </c>
      <c r="I218" s="415">
        <f t="shared" si="80"/>
        <v>130487.18065629677</v>
      </c>
      <c r="J218" s="415">
        <f t="shared" si="80"/>
        <v>131512.36699862007</v>
      </c>
      <c r="K218" s="415">
        <f t="shared" si="80"/>
        <v>132470.79550143413</v>
      </c>
      <c r="L218" s="415">
        <f t="shared" si="80"/>
        <v>133395.58765433182</v>
      </c>
      <c r="M218" s="415">
        <f t="shared" si="80"/>
        <v>134282.81213665381</v>
      </c>
      <c r="N218" s="415">
        <f t="shared" si="80"/>
        <v>133718.01441793094</v>
      </c>
      <c r="O218" s="415">
        <f t="shared" si="80"/>
        <v>133178.06109948806</v>
      </c>
      <c r="P218" s="415">
        <f t="shared" si="80"/>
        <v>132857.61370769257</v>
      </c>
      <c r="Q218" s="415">
        <f t="shared" si="80"/>
        <v>132536.6332227182</v>
      </c>
      <c r="R218" s="415">
        <f t="shared" si="80"/>
        <v>132216.65072663658</v>
      </c>
      <c r="S218" s="415">
        <f t="shared" si="80"/>
        <v>131896.16345829694</v>
      </c>
      <c r="T218" s="415">
        <f t="shared" si="80"/>
        <v>131576.65504257547</v>
      </c>
      <c r="U218" s="415">
        <f t="shared" si="80"/>
        <v>131256.67004187393</v>
      </c>
      <c r="V218" s="415">
        <f t="shared" si="80"/>
        <v>130937.64503909879</v>
      </c>
      <c r="W218" s="415">
        <f t="shared" si="80"/>
        <v>130618.17150773872</v>
      </c>
      <c r="X218" s="415">
        <f t="shared" si="80"/>
        <v>126940.33291594435</v>
      </c>
      <c r="Y218" s="415">
        <f t="shared" si="80"/>
        <v>126630.37271556102</v>
      </c>
      <c r="Z218" s="415">
        <f t="shared" si="80"/>
        <v>126369.01113624425</v>
      </c>
      <c r="AA218" s="415">
        <f t="shared" si="80"/>
        <v>126108.4336806401</v>
      </c>
      <c r="AB218" s="415">
        <f t="shared" si="80"/>
        <v>125847.35167380051</v>
      </c>
      <c r="AC218" s="415">
        <f t="shared" si="80"/>
        <v>125587.0536693532</v>
      </c>
    </row>
    <row r="219" spans="3:29" ht="15.75">
      <c r="C219" s="401" t="s">
        <v>184</v>
      </c>
      <c r="D219" s="420">
        <f>SUM(D209:D215)/SUM(D203:D206)</f>
        <v>3.6853468522717945</v>
      </c>
      <c r="F219" s="407">
        <f t="shared" ref="F219:AC219" si="81">F218-F188</f>
        <v>0</v>
      </c>
      <c r="G219" s="407">
        <f t="shared" si="81"/>
        <v>0</v>
      </c>
      <c r="H219" s="407">
        <f t="shared" si="81"/>
        <v>0</v>
      </c>
      <c r="I219" s="407">
        <f t="shared" si="81"/>
        <v>0</v>
      </c>
      <c r="J219" s="407">
        <f t="shared" si="81"/>
        <v>0</v>
      </c>
      <c r="K219" s="407">
        <f t="shared" si="81"/>
        <v>0</v>
      </c>
      <c r="L219" s="407">
        <f t="shared" si="81"/>
        <v>0</v>
      </c>
      <c r="M219" s="407">
        <f t="shared" si="81"/>
        <v>0</v>
      </c>
      <c r="N219" s="407">
        <f t="shared" si="81"/>
        <v>0</v>
      </c>
      <c r="O219" s="407">
        <f t="shared" si="81"/>
        <v>0</v>
      </c>
      <c r="P219" s="407">
        <f t="shared" si="81"/>
        <v>0</v>
      </c>
      <c r="Q219" s="407">
        <f t="shared" si="81"/>
        <v>0</v>
      </c>
      <c r="R219" s="407">
        <f t="shared" si="81"/>
        <v>0</v>
      </c>
      <c r="S219" s="407">
        <f t="shared" si="81"/>
        <v>0</v>
      </c>
      <c r="T219" s="407">
        <f t="shared" si="81"/>
        <v>0</v>
      </c>
      <c r="U219" s="407">
        <f t="shared" si="81"/>
        <v>0</v>
      </c>
      <c r="V219" s="407">
        <f t="shared" si="81"/>
        <v>0</v>
      </c>
      <c r="W219" s="407">
        <f t="shared" si="81"/>
        <v>0</v>
      </c>
      <c r="X219" s="407">
        <f t="shared" si="81"/>
        <v>0</v>
      </c>
      <c r="Y219" s="407">
        <f t="shared" si="81"/>
        <v>0</v>
      </c>
      <c r="Z219" s="407">
        <f t="shared" si="81"/>
        <v>0</v>
      </c>
      <c r="AA219" s="407">
        <f t="shared" si="81"/>
        <v>0</v>
      </c>
      <c r="AB219" s="407">
        <f t="shared" si="81"/>
        <v>0</v>
      </c>
      <c r="AC219" s="407">
        <f t="shared" si="81"/>
        <v>0</v>
      </c>
    </row>
    <row r="220" spans="3:29">
      <c r="C220" s="50"/>
      <c r="D220" s="40"/>
      <c r="F220" s="39"/>
    </row>
    <row r="221" spans="3:29">
      <c r="C221" s="50"/>
      <c r="D221" s="25"/>
      <c r="F221" s="39"/>
    </row>
    <row r="222" spans="3:29" ht="14.25">
      <c r="C222" s="412" t="s">
        <v>580</v>
      </c>
      <c r="D222" s="39"/>
      <c r="E222" s="39"/>
      <c r="F222" s="39"/>
    </row>
    <row r="223" spans="3:29" ht="15.75">
      <c r="C223" s="401" t="s">
        <v>1</v>
      </c>
      <c r="D223" s="418">
        <f>SUM(D224:D227)</f>
        <v>759.948864121513</v>
      </c>
      <c r="E223" s="39"/>
      <c r="F223" s="422"/>
      <c r="G223" s="422"/>
      <c r="H223" s="422"/>
      <c r="I223" s="422"/>
      <c r="J223" s="422"/>
      <c r="K223" s="422"/>
      <c r="L223" s="422"/>
      <c r="M223" s="422"/>
      <c r="N223" s="422"/>
      <c r="O223" s="422"/>
      <c r="P223" s="422"/>
      <c r="Q223" s="422"/>
      <c r="R223" s="422"/>
      <c r="S223" s="422"/>
      <c r="T223" s="422"/>
      <c r="U223" s="422"/>
      <c r="V223" s="422"/>
      <c r="W223" s="422"/>
      <c r="X223" s="422"/>
      <c r="Y223" s="422"/>
      <c r="Z223" s="422"/>
      <c r="AA223" s="422"/>
      <c r="AB223" s="422"/>
      <c r="AC223" s="422"/>
    </row>
    <row r="224" spans="3:29" ht="15.75">
      <c r="C224" s="403" t="s">
        <v>196</v>
      </c>
      <c r="D224" s="416">
        <f>-SUM(F224:AC224)/1000</f>
        <v>557.49337355075886</v>
      </c>
      <c r="E224" s="39"/>
      <c r="F224" s="422">
        <f t="shared" ref="F224:AC224" si="82">F203*F$189</f>
        <v>-518469.90291262139</v>
      </c>
      <c r="G224" s="422">
        <f t="shared" si="82"/>
        <v>-39023.470638137427</v>
      </c>
      <c r="H224" s="422">
        <f t="shared" si="82"/>
        <v>0</v>
      </c>
      <c r="I224" s="422">
        <f t="shared" si="82"/>
        <v>0</v>
      </c>
      <c r="J224" s="422">
        <f t="shared" si="82"/>
        <v>0</v>
      </c>
      <c r="K224" s="422">
        <f t="shared" si="82"/>
        <v>0</v>
      </c>
      <c r="L224" s="422">
        <f t="shared" si="82"/>
        <v>0</v>
      </c>
      <c r="M224" s="422">
        <f t="shared" si="82"/>
        <v>0</v>
      </c>
      <c r="N224" s="422">
        <f t="shared" si="82"/>
        <v>0</v>
      </c>
      <c r="O224" s="422">
        <f t="shared" si="82"/>
        <v>0</v>
      </c>
      <c r="P224" s="422">
        <f t="shared" si="82"/>
        <v>0</v>
      </c>
      <c r="Q224" s="422">
        <f t="shared" si="82"/>
        <v>0</v>
      </c>
      <c r="R224" s="422">
        <f t="shared" si="82"/>
        <v>0</v>
      </c>
      <c r="S224" s="422">
        <f t="shared" si="82"/>
        <v>0</v>
      </c>
      <c r="T224" s="422">
        <f t="shared" si="82"/>
        <v>0</v>
      </c>
      <c r="U224" s="422">
        <f t="shared" si="82"/>
        <v>0</v>
      </c>
      <c r="V224" s="422">
        <f t="shared" si="82"/>
        <v>0</v>
      </c>
      <c r="W224" s="422">
        <f t="shared" si="82"/>
        <v>0</v>
      </c>
      <c r="X224" s="422">
        <f t="shared" si="82"/>
        <v>0</v>
      </c>
      <c r="Y224" s="422">
        <f t="shared" si="82"/>
        <v>0</v>
      </c>
      <c r="Z224" s="422">
        <f t="shared" si="82"/>
        <v>0</v>
      </c>
      <c r="AA224" s="422">
        <f t="shared" si="82"/>
        <v>0</v>
      </c>
      <c r="AB224" s="422">
        <f t="shared" si="82"/>
        <v>0</v>
      </c>
      <c r="AC224" s="422">
        <f t="shared" si="82"/>
        <v>0</v>
      </c>
    </row>
    <row r="225" spans="3:29" ht="15.75">
      <c r="C225" s="403" t="s">
        <v>197</v>
      </c>
      <c r="D225" s="416">
        <f>-SUM(F225:AC225)/1000</f>
        <v>0</v>
      </c>
      <c r="F225" s="422">
        <f t="shared" ref="F225:AC225" si="83">F204*F$189</f>
        <v>0</v>
      </c>
      <c r="G225" s="422">
        <f t="shared" si="83"/>
        <v>0</v>
      </c>
      <c r="H225" s="422">
        <f t="shared" si="83"/>
        <v>0</v>
      </c>
      <c r="I225" s="422">
        <f t="shared" si="83"/>
        <v>0</v>
      </c>
      <c r="J225" s="422">
        <f t="shared" si="83"/>
        <v>0</v>
      </c>
      <c r="K225" s="422">
        <f t="shared" si="83"/>
        <v>0</v>
      </c>
      <c r="L225" s="422">
        <f t="shared" si="83"/>
        <v>0</v>
      </c>
      <c r="M225" s="422">
        <f t="shared" si="83"/>
        <v>0</v>
      </c>
      <c r="N225" s="422">
        <f t="shared" si="83"/>
        <v>0</v>
      </c>
      <c r="O225" s="422">
        <f t="shared" si="83"/>
        <v>0</v>
      </c>
      <c r="P225" s="422">
        <f t="shared" si="83"/>
        <v>0</v>
      </c>
      <c r="Q225" s="422">
        <f t="shared" si="83"/>
        <v>0</v>
      </c>
      <c r="R225" s="422">
        <f t="shared" si="83"/>
        <v>0</v>
      </c>
      <c r="S225" s="422">
        <f t="shared" si="83"/>
        <v>0</v>
      </c>
      <c r="T225" s="422">
        <f t="shared" si="83"/>
        <v>0</v>
      </c>
      <c r="U225" s="422">
        <f t="shared" si="83"/>
        <v>0</v>
      </c>
      <c r="V225" s="422">
        <f t="shared" si="83"/>
        <v>0</v>
      </c>
      <c r="W225" s="422">
        <f t="shared" si="83"/>
        <v>0</v>
      </c>
      <c r="X225" s="422">
        <f t="shared" si="83"/>
        <v>0</v>
      </c>
      <c r="Y225" s="422">
        <f t="shared" si="83"/>
        <v>0</v>
      </c>
      <c r="Z225" s="422">
        <f t="shared" si="83"/>
        <v>0</v>
      </c>
      <c r="AA225" s="422">
        <f t="shared" si="83"/>
        <v>0</v>
      </c>
      <c r="AB225" s="422">
        <f t="shared" si="83"/>
        <v>0</v>
      </c>
      <c r="AC225" s="422">
        <f t="shared" si="83"/>
        <v>0</v>
      </c>
    </row>
    <row r="226" spans="3:29" ht="15.75">
      <c r="C226" s="404" t="s">
        <v>546</v>
      </c>
      <c r="D226" s="416">
        <f>-SUM(F226:AC226)/1000</f>
        <v>79.890028172081585</v>
      </c>
      <c r="F226" s="422">
        <f t="shared" ref="F226:AC226" si="84">F205*F$189</f>
        <v>0</v>
      </c>
      <c r="G226" s="422">
        <f t="shared" si="84"/>
        <v>-79890.028172081584</v>
      </c>
      <c r="H226" s="422">
        <f t="shared" si="84"/>
        <v>0</v>
      </c>
      <c r="I226" s="422">
        <f t="shared" si="84"/>
        <v>0</v>
      </c>
      <c r="J226" s="422">
        <f t="shared" si="84"/>
        <v>0</v>
      </c>
      <c r="K226" s="422">
        <f t="shared" si="84"/>
        <v>0</v>
      </c>
      <c r="L226" s="422">
        <f t="shared" si="84"/>
        <v>0</v>
      </c>
      <c r="M226" s="422">
        <f t="shared" si="84"/>
        <v>0</v>
      </c>
      <c r="N226" s="422">
        <f t="shared" si="84"/>
        <v>0</v>
      </c>
      <c r="O226" s="422">
        <f t="shared" si="84"/>
        <v>0</v>
      </c>
      <c r="P226" s="422">
        <f t="shared" si="84"/>
        <v>0</v>
      </c>
      <c r="Q226" s="422">
        <f t="shared" si="84"/>
        <v>0</v>
      </c>
      <c r="R226" s="422">
        <f t="shared" si="84"/>
        <v>0</v>
      </c>
      <c r="S226" s="422">
        <f t="shared" si="84"/>
        <v>0</v>
      </c>
      <c r="T226" s="422">
        <f t="shared" si="84"/>
        <v>0</v>
      </c>
      <c r="U226" s="422">
        <f t="shared" si="84"/>
        <v>0</v>
      </c>
      <c r="V226" s="422">
        <f t="shared" si="84"/>
        <v>0</v>
      </c>
      <c r="W226" s="422">
        <f t="shared" si="84"/>
        <v>0</v>
      </c>
      <c r="X226" s="422">
        <f t="shared" si="84"/>
        <v>0</v>
      </c>
      <c r="Y226" s="422">
        <f t="shared" si="84"/>
        <v>0</v>
      </c>
      <c r="Z226" s="422">
        <f t="shared" si="84"/>
        <v>0</v>
      </c>
      <c r="AA226" s="422">
        <f t="shared" si="84"/>
        <v>0</v>
      </c>
      <c r="AB226" s="422">
        <f t="shared" si="84"/>
        <v>0</v>
      </c>
      <c r="AC226" s="422">
        <f t="shared" si="84"/>
        <v>0</v>
      </c>
    </row>
    <row r="227" spans="3:29" ht="15.75">
      <c r="C227" s="403" t="s">
        <v>198</v>
      </c>
      <c r="D227" s="416">
        <f>-SUM(F227:AC227)/1000</f>
        <v>122.56546239867262</v>
      </c>
      <c r="F227" s="422">
        <f t="shared" ref="F227:AC227" si="85">F206*F$189</f>
        <v>0</v>
      </c>
      <c r="G227" s="422">
        <f t="shared" si="85"/>
        <v>-7052.7921505703898</v>
      </c>
      <c r="H227" s="422">
        <f t="shared" si="85"/>
        <v>-6910.7755006643711</v>
      </c>
      <c r="I227" s="422">
        <f t="shared" si="85"/>
        <v>-6771.0485255897929</v>
      </c>
      <c r="J227" s="422">
        <f t="shared" si="85"/>
        <v>-6633.598324112173</v>
      </c>
      <c r="K227" s="422">
        <f t="shared" si="85"/>
        <v>-6498.4108041109303</v>
      </c>
      <c r="L227" s="422">
        <f t="shared" si="85"/>
        <v>-6365.470762895975</v>
      </c>
      <c r="M227" s="422">
        <f t="shared" si="85"/>
        <v>-6234.7619638559509</v>
      </c>
      <c r="N227" s="422">
        <f t="shared" si="85"/>
        <v>-6037.5494436820263</v>
      </c>
      <c r="O227" s="422">
        <f t="shared" si="85"/>
        <v>-5846.5358564699964</v>
      </c>
      <c r="P227" s="422">
        <f t="shared" si="85"/>
        <v>-5661.5274018721548</v>
      </c>
      <c r="Q227" s="422">
        <f t="shared" si="85"/>
        <v>-5482.3363101014638</v>
      </c>
      <c r="R227" s="422">
        <f t="shared" si="85"/>
        <v>-5308.7806550446403</v>
      </c>
      <c r="S227" s="422">
        <f t="shared" si="85"/>
        <v>-5140.6841731459081</v>
      </c>
      <c r="T227" s="422">
        <f t="shared" si="85"/>
        <v>-4977.8760878838084</v>
      </c>
      <c r="U227" s="422">
        <f t="shared" si="85"/>
        <v>-4820.1909396688989</v>
      </c>
      <c r="V227" s="422">
        <f t="shared" si="85"/>
        <v>-4667.4684209955003</v>
      </c>
      <c r="W227" s="422">
        <f t="shared" si="85"/>
        <v>-4519.553216685671</v>
      </c>
      <c r="X227" s="422">
        <f t="shared" si="85"/>
        <v>-4263.4053280871913</v>
      </c>
      <c r="Y227" s="422">
        <f t="shared" si="85"/>
        <v>-4128.2390284811363</v>
      </c>
      <c r="Z227" s="422">
        <f t="shared" si="85"/>
        <v>-3997.3296923215662</v>
      </c>
      <c r="AA227" s="422">
        <f t="shared" si="85"/>
        <v>-3870.5440076362429</v>
      </c>
      <c r="AB227" s="422">
        <f t="shared" si="85"/>
        <v>-3747.7528168621875</v>
      </c>
      <c r="AC227" s="422">
        <f t="shared" si="85"/>
        <v>-3628.8309879346411</v>
      </c>
    </row>
    <row r="228" spans="3:29" ht="15.75">
      <c r="C228" s="402"/>
      <c r="D228" s="417"/>
      <c r="F228" s="414">
        <f>SUM(F224:F227)</f>
        <v>-518469.90291262139</v>
      </c>
      <c r="G228" s="414">
        <f t="shared" ref="G228:AC228" si="86">SUM(G224:G227)</f>
        <v>-125966.2909607894</v>
      </c>
      <c r="H228" s="414">
        <f t="shared" si="86"/>
        <v>-6910.7755006643711</v>
      </c>
      <c r="I228" s="414">
        <f t="shared" si="86"/>
        <v>-6771.0485255897929</v>
      </c>
      <c r="J228" s="414">
        <f t="shared" si="86"/>
        <v>-6633.598324112173</v>
      </c>
      <c r="K228" s="414">
        <f t="shared" si="86"/>
        <v>-6498.4108041109303</v>
      </c>
      <c r="L228" s="414">
        <f t="shared" si="86"/>
        <v>-6365.470762895975</v>
      </c>
      <c r="M228" s="414">
        <f t="shared" si="86"/>
        <v>-6234.7619638559509</v>
      </c>
      <c r="N228" s="414">
        <f t="shared" si="86"/>
        <v>-6037.5494436820263</v>
      </c>
      <c r="O228" s="414">
        <f t="shared" si="86"/>
        <v>-5846.5358564699964</v>
      </c>
      <c r="P228" s="414">
        <f t="shared" si="86"/>
        <v>-5661.5274018721548</v>
      </c>
      <c r="Q228" s="414">
        <f t="shared" si="86"/>
        <v>-5482.3363101014638</v>
      </c>
      <c r="R228" s="414">
        <f t="shared" si="86"/>
        <v>-5308.7806550446403</v>
      </c>
      <c r="S228" s="414">
        <f t="shared" si="86"/>
        <v>-5140.6841731459081</v>
      </c>
      <c r="T228" s="414">
        <f t="shared" si="86"/>
        <v>-4977.8760878838084</v>
      </c>
      <c r="U228" s="414">
        <f t="shared" si="86"/>
        <v>-4820.1909396688989</v>
      </c>
      <c r="V228" s="414">
        <f t="shared" si="86"/>
        <v>-4667.4684209955003</v>
      </c>
      <c r="W228" s="414">
        <f t="shared" si="86"/>
        <v>-4519.553216685671</v>
      </c>
      <c r="X228" s="414">
        <f t="shared" si="86"/>
        <v>-4263.4053280871913</v>
      </c>
      <c r="Y228" s="414">
        <f t="shared" si="86"/>
        <v>-4128.2390284811363</v>
      </c>
      <c r="Z228" s="414">
        <f t="shared" si="86"/>
        <v>-3997.3296923215662</v>
      </c>
      <c r="AA228" s="414">
        <f t="shared" si="86"/>
        <v>-3870.5440076362429</v>
      </c>
      <c r="AB228" s="414">
        <f t="shared" si="86"/>
        <v>-3747.7528168621875</v>
      </c>
      <c r="AC228" s="414">
        <f t="shared" si="86"/>
        <v>-3628.8309879346411</v>
      </c>
    </row>
    <row r="229" spans="3:29" ht="15.75">
      <c r="C229" s="401" t="s">
        <v>0</v>
      </c>
      <c r="D229" s="418">
        <f>SUM(D230:D236)</f>
        <v>2121.8692568880897</v>
      </c>
      <c r="F229" s="406"/>
      <c r="G229" s="406"/>
      <c r="H229" s="406"/>
      <c r="I229" s="406"/>
      <c r="J229" s="406"/>
      <c r="K229" s="406"/>
      <c r="L229" s="406"/>
      <c r="M229" s="406"/>
      <c r="N229" s="406"/>
      <c r="O229" s="406"/>
      <c r="P229" s="406"/>
      <c r="Q229" s="406"/>
      <c r="R229" s="406"/>
      <c r="S229" s="406"/>
      <c r="T229" s="406"/>
      <c r="U229" s="406"/>
      <c r="V229" s="406"/>
      <c r="W229" s="406"/>
      <c r="X229" s="406"/>
      <c r="Y229" s="406"/>
      <c r="Z229" s="406"/>
      <c r="AA229" s="406"/>
      <c r="AB229" s="406"/>
      <c r="AC229" s="406"/>
    </row>
    <row r="230" spans="3:29" ht="15.75">
      <c r="C230" s="403" t="s">
        <v>577</v>
      </c>
      <c r="D230" s="416">
        <f t="shared" ref="D230:D236" si="87">SUM(F230:AC230)/1000</f>
        <v>208.62561139305106</v>
      </c>
      <c r="F230" s="424">
        <f t="shared" ref="F230:AC230" si="88">F209*F$189</f>
        <v>0</v>
      </c>
      <c r="G230" s="424">
        <f t="shared" si="88"/>
        <v>-15996.785223545381</v>
      </c>
      <c r="H230" s="424">
        <f t="shared" si="88"/>
        <v>13053.806079073442</v>
      </c>
      <c r="I230" s="424">
        <f t="shared" si="88"/>
        <v>12828.870128458817</v>
      </c>
      <c r="J230" s="424">
        <f t="shared" si="88"/>
        <v>12606.916167393851</v>
      </c>
      <c r="K230" s="424">
        <f t="shared" si="88"/>
        <v>12387.943197204857</v>
      </c>
      <c r="L230" s="424">
        <f t="shared" si="88"/>
        <v>12171.9481248876</v>
      </c>
      <c r="M230" s="424">
        <f t="shared" si="88"/>
        <v>11958.925877759673</v>
      </c>
      <c r="N230" s="424">
        <f t="shared" si="88"/>
        <v>11616.651902026339</v>
      </c>
      <c r="O230" s="424">
        <f t="shared" si="88"/>
        <v>11284.235870080367</v>
      </c>
      <c r="P230" s="424">
        <f t="shared" si="88"/>
        <v>10961.392675351977</v>
      </c>
      <c r="Q230" s="424">
        <f t="shared" si="88"/>
        <v>10647.845481880102</v>
      </c>
      <c r="R230" s="424">
        <f t="shared" si="88"/>
        <v>10343.325483847944</v>
      </c>
      <c r="S230" s="424">
        <f t="shared" si="88"/>
        <v>10047.571672122229</v>
      </c>
      <c r="T230" s="424">
        <f t="shared" si="88"/>
        <v>9760.3306075917662</v>
      </c>
      <c r="U230" s="424">
        <f t="shared" si="88"/>
        <v>9481.356201107199</v>
      </c>
      <c r="V230" s="424">
        <f t="shared" si="88"/>
        <v>9210.4094998292767</v>
      </c>
      <c r="W230" s="424">
        <f t="shared" si="88"/>
        <v>8947.2584797988038</v>
      </c>
      <c r="X230" s="424">
        <f t="shared" si="88"/>
        <v>8467.4700655382694</v>
      </c>
      <c r="Y230" s="424">
        <f t="shared" si="88"/>
        <v>8225.6481522278973</v>
      </c>
      <c r="Z230" s="424">
        <f t="shared" si="88"/>
        <v>7990.7810756866129</v>
      </c>
      <c r="AA230" s="424">
        <f t="shared" si="88"/>
        <v>7762.66790006273</v>
      </c>
      <c r="AB230" s="424">
        <f t="shared" si="88"/>
        <v>7541.1135138779955</v>
      </c>
      <c r="AC230" s="424">
        <f t="shared" si="88"/>
        <v>7325.9284607886748</v>
      </c>
    </row>
    <row r="231" spans="3:29" ht="15.75">
      <c r="C231" s="403" t="s">
        <v>578</v>
      </c>
      <c r="D231" s="416">
        <f t="shared" si="87"/>
        <v>286.3661922799925</v>
      </c>
      <c r="F231" s="422">
        <f t="shared" ref="F231:AC231" si="89">F210*F$189</f>
        <v>0</v>
      </c>
      <c r="G231" s="422">
        <f t="shared" si="89"/>
        <v>16478.387904510815</v>
      </c>
      <c r="H231" s="422">
        <f t="shared" si="89"/>
        <v>16146.575283907607</v>
      </c>
      <c r="I231" s="422">
        <f t="shared" si="89"/>
        <v>15820.112338899849</v>
      </c>
      <c r="J231" s="422">
        <f t="shared" si="89"/>
        <v>15498.968926596372</v>
      </c>
      <c r="K231" s="422">
        <f t="shared" si="89"/>
        <v>15183.112121678456</v>
      </c>
      <c r="L231" s="422">
        <f t="shared" si="89"/>
        <v>14872.506404054333</v>
      </c>
      <c r="M231" s="422">
        <f t="shared" si="89"/>
        <v>14567.113837942758</v>
      </c>
      <c r="N231" s="422">
        <f t="shared" si="89"/>
        <v>14106.339673941731</v>
      </c>
      <c r="O231" s="422">
        <f t="shared" si="89"/>
        <v>13660.048911657268</v>
      </c>
      <c r="P231" s="422">
        <f t="shared" si="89"/>
        <v>13227.788749243327</v>
      </c>
      <c r="Q231" s="422">
        <f t="shared" si="89"/>
        <v>12809.120474864729</v>
      </c>
      <c r="R231" s="422">
        <f t="shared" si="89"/>
        <v>12403.619030048078</v>
      </c>
      <c r="S231" s="422">
        <f t="shared" si="89"/>
        <v>12010.872586515519</v>
      </c>
      <c r="T231" s="422">
        <f t="shared" si="89"/>
        <v>11630.482136086239</v>
      </c>
      <c r="U231" s="422">
        <f t="shared" si="89"/>
        <v>11262.061093243597</v>
      </c>
      <c r="V231" s="422">
        <f t="shared" si="89"/>
        <v>10905.234909977915</v>
      </c>
      <c r="W231" s="422">
        <f t="shared" si="89"/>
        <v>10559.640702527013</v>
      </c>
      <c r="X231" s="422">
        <f t="shared" si="89"/>
        <v>9961.1679020906904</v>
      </c>
      <c r="Y231" s="422">
        <f t="shared" si="89"/>
        <v>9645.3606772392159</v>
      </c>
      <c r="Z231" s="422">
        <f t="shared" si="89"/>
        <v>9339.4995692544962</v>
      </c>
      <c r="AA231" s="422">
        <f t="shared" si="89"/>
        <v>9043.2731034263761</v>
      </c>
      <c r="AB231" s="422">
        <f t="shared" si="89"/>
        <v>8756.3795115504217</v>
      </c>
      <c r="AC231" s="422">
        <f t="shared" si="89"/>
        <v>8478.5264307356847</v>
      </c>
    </row>
    <row r="232" spans="3:29" ht="15.75">
      <c r="C232" s="403" t="s">
        <v>199</v>
      </c>
      <c r="D232" s="416">
        <f t="shared" si="87"/>
        <v>8.8377778428924501</v>
      </c>
      <c r="F232" s="422">
        <f t="shared" ref="F232:AC232" si="90">F211*F$189</f>
        <v>0</v>
      </c>
      <c r="G232" s="422">
        <f t="shared" si="90"/>
        <v>304.54831983485116</v>
      </c>
      <c r="H232" s="422">
        <f t="shared" si="90"/>
        <v>318.17941944072277</v>
      </c>
      <c r="I232" s="422">
        <f t="shared" si="90"/>
        <v>331.24383487981572</v>
      </c>
      <c r="J232" s="422">
        <f t="shared" si="90"/>
        <v>343.75376437921295</v>
      </c>
      <c r="K232" s="422">
        <f t="shared" si="90"/>
        <v>355.72136913226302</v>
      </c>
      <c r="L232" s="422">
        <f t="shared" si="90"/>
        <v>367.15876091601496</v>
      </c>
      <c r="M232" s="422">
        <f t="shared" si="90"/>
        <v>378.07799055570621</v>
      </c>
      <c r="N232" s="422">
        <f t="shared" si="90"/>
        <v>384.11909682113628</v>
      </c>
      <c r="O232" s="422">
        <f t="shared" si="90"/>
        <v>389.51997923713554</v>
      </c>
      <c r="P232" s="422">
        <f t="shared" si="90"/>
        <v>394.31219707626445</v>
      </c>
      <c r="Q232" s="422">
        <f t="shared" si="90"/>
        <v>398.52602698738264</v>
      </c>
      <c r="R232" s="422">
        <f t="shared" si="90"/>
        <v>402.19051066488271</v>
      </c>
      <c r="S232" s="422">
        <f t="shared" si="90"/>
        <v>405.33350083530536</v>
      </c>
      <c r="T232" s="422">
        <f t="shared" si="90"/>
        <v>407.98170561879255</v>
      </c>
      <c r="U232" s="422">
        <f t="shared" si="90"/>
        <v>410.16073132087803</v>
      </c>
      <c r="V232" s="422">
        <f t="shared" si="90"/>
        <v>411.89512370828578</v>
      </c>
      <c r="W232" s="422">
        <f t="shared" si="90"/>
        <v>413.20840782063516</v>
      </c>
      <c r="X232" s="422">
        <f t="shared" si="90"/>
        <v>403.44053687741598</v>
      </c>
      <c r="Y232" s="422">
        <f t="shared" si="90"/>
        <v>403.96460541215311</v>
      </c>
      <c r="Z232" s="422">
        <f t="shared" si="90"/>
        <v>404.14158529926067</v>
      </c>
      <c r="AA232" s="422">
        <f t="shared" si="90"/>
        <v>403.99077768812771</v>
      </c>
      <c r="AB232" s="422">
        <f t="shared" si="90"/>
        <v>403.53066354374545</v>
      </c>
      <c r="AC232" s="422">
        <f t="shared" si="90"/>
        <v>402.77893484246562</v>
      </c>
    </row>
    <row r="233" spans="3:29" ht="15.75">
      <c r="C233" s="403" t="s">
        <v>200</v>
      </c>
      <c r="D233" s="416">
        <f t="shared" si="87"/>
        <v>962.34765920602945</v>
      </c>
      <c r="F233" s="422">
        <f t="shared" ref="F233:AC233" si="91">F212*F$189</f>
        <v>0</v>
      </c>
      <c r="G233" s="422">
        <f t="shared" si="91"/>
        <v>958.84574428008909</v>
      </c>
      <c r="H233" s="422">
        <f t="shared" si="91"/>
        <v>57517.000034837307</v>
      </c>
      <c r="I233" s="422">
        <f t="shared" si="91"/>
        <v>56354.080413231946</v>
      </c>
      <c r="J233" s="422">
        <f t="shared" si="91"/>
        <v>55210.109922160918</v>
      </c>
      <c r="K233" s="422">
        <f t="shared" si="91"/>
        <v>54084.971275727738</v>
      </c>
      <c r="L233" s="422">
        <f t="shared" si="91"/>
        <v>52978.537944988413</v>
      </c>
      <c r="M233" s="422">
        <f t="shared" si="91"/>
        <v>51890.674795879342</v>
      </c>
      <c r="N233" s="422">
        <f t="shared" si="91"/>
        <v>50249.314498670508</v>
      </c>
      <c r="O233" s="422">
        <f t="shared" si="91"/>
        <v>48659.546678651968</v>
      </c>
      <c r="P233" s="422">
        <f t="shared" si="91"/>
        <v>47119.758374354395</v>
      </c>
      <c r="Q233" s="422">
        <f t="shared" si="91"/>
        <v>45628.386815456768</v>
      </c>
      <c r="R233" s="422">
        <f t="shared" si="91"/>
        <v>44183.917867364042</v>
      </c>
      <c r="S233" s="422">
        <f t="shared" si="91"/>
        <v>42784.884523812965</v>
      </c>
      <c r="T233" s="422">
        <f t="shared" si="91"/>
        <v>41429.865446027587</v>
      </c>
      <c r="U233" s="422">
        <f t="shared" si="91"/>
        <v>40117.483546992036</v>
      </c>
      <c r="V233" s="422">
        <f t="shared" si="91"/>
        <v>38846.40461945143</v>
      </c>
      <c r="W233" s="422">
        <f t="shared" si="91"/>
        <v>37615.336006294565</v>
      </c>
      <c r="X233" s="422">
        <f t="shared" si="91"/>
        <v>35483.468444394166</v>
      </c>
      <c r="Y233" s="422">
        <f t="shared" si="91"/>
        <v>34358.506411059003</v>
      </c>
      <c r="Z233" s="422">
        <f t="shared" si="91"/>
        <v>33268.97423167817</v>
      </c>
      <c r="AA233" s="422">
        <f t="shared" si="91"/>
        <v>32213.762377413535</v>
      </c>
      <c r="AB233" s="422">
        <f t="shared" si="91"/>
        <v>31191.795895742973</v>
      </c>
      <c r="AC233" s="422">
        <f t="shared" si="91"/>
        <v>30202.033337559602</v>
      </c>
    </row>
    <row r="234" spans="3:29" ht="15.75">
      <c r="C234" s="403" t="s">
        <v>201</v>
      </c>
      <c r="D234" s="416">
        <f t="shared" si="87"/>
        <v>86.025054494806056</v>
      </c>
      <c r="F234" s="422">
        <f t="shared" ref="F234:AC234" si="92">F213*F$189</f>
        <v>0</v>
      </c>
      <c r="G234" s="422">
        <f t="shared" si="92"/>
        <v>6744.279591964164</v>
      </c>
      <c r="H234" s="422">
        <f t="shared" si="92"/>
        <v>6314.3045029969844</v>
      </c>
      <c r="I234" s="422">
        <f t="shared" si="92"/>
        <v>5902.0343399984376</v>
      </c>
      <c r="J234" s="422">
        <f t="shared" si="92"/>
        <v>5585.544296495792</v>
      </c>
      <c r="K234" s="422">
        <f t="shared" si="92"/>
        <v>5225.172770967034</v>
      </c>
      <c r="L234" s="422">
        <f t="shared" si="92"/>
        <v>4852.330267241131</v>
      </c>
      <c r="M234" s="422">
        <f t="shared" si="92"/>
        <v>4465.7681792863204</v>
      </c>
      <c r="N234" s="422">
        <f t="shared" si="92"/>
        <v>4103.1706903864369</v>
      </c>
      <c r="O234" s="422">
        <f t="shared" si="92"/>
        <v>3776.2962114065854</v>
      </c>
      <c r="P234" s="422">
        <f t="shared" si="92"/>
        <v>3623.4624109056081</v>
      </c>
      <c r="Q234" s="422">
        <f t="shared" si="92"/>
        <v>3475.8604371718434</v>
      </c>
      <c r="R234" s="422">
        <f t="shared" si="92"/>
        <v>3334.3704169464831</v>
      </c>
      <c r="S234" s="422">
        <f t="shared" si="92"/>
        <v>3197.7499542560799</v>
      </c>
      <c r="T234" s="422">
        <f t="shared" si="92"/>
        <v>3066.7991031366569</v>
      </c>
      <c r="U234" s="422">
        <f t="shared" si="92"/>
        <v>2940.379864296744</v>
      </c>
      <c r="V234" s="422">
        <f t="shared" si="92"/>
        <v>2819.2187726773795</v>
      </c>
      <c r="W234" s="422">
        <f t="shared" si="92"/>
        <v>2702.2740788170886</v>
      </c>
      <c r="X234" s="422">
        <f t="shared" si="92"/>
        <v>2524.4505536083798</v>
      </c>
      <c r="Y234" s="422">
        <f t="shared" si="92"/>
        <v>2419.4542459705008</v>
      </c>
      <c r="Z234" s="422">
        <f t="shared" si="92"/>
        <v>2344.4797199456571</v>
      </c>
      <c r="AA234" s="422">
        <f t="shared" si="92"/>
        <v>2272.1536998496513</v>
      </c>
      <c r="AB234" s="422">
        <f t="shared" si="92"/>
        <v>2201.722017105767</v>
      </c>
      <c r="AC234" s="422">
        <f t="shared" si="92"/>
        <v>2133.7783693753349</v>
      </c>
    </row>
    <row r="235" spans="3:29" ht="15.75">
      <c r="C235" s="403" t="s">
        <v>579</v>
      </c>
      <c r="D235" s="416">
        <f t="shared" si="87"/>
        <v>1.9206134496460497E-2</v>
      </c>
      <c r="F235" s="422">
        <f t="shared" ref="F235:AC235" si="93">F214*F$189</f>
        <v>0</v>
      </c>
      <c r="G235" s="422">
        <f t="shared" si="93"/>
        <v>1.1051798114123772</v>
      </c>
      <c r="H235" s="422">
        <f t="shared" si="93"/>
        <v>1.0829256557517912</v>
      </c>
      <c r="I235" s="422">
        <f t="shared" si="93"/>
        <v>1.06103029450119</v>
      </c>
      <c r="J235" s="422">
        <f t="shared" si="93"/>
        <v>1.0394917060238105</v>
      </c>
      <c r="K235" s="422">
        <f t="shared" si="93"/>
        <v>1.018307682069808</v>
      </c>
      <c r="L235" s="422">
        <f t="shared" si="93"/>
        <v>0.99747584036195147</v>
      </c>
      <c r="M235" s="422">
        <f t="shared" si="93"/>
        <v>0.97699363660647731</v>
      </c>
      <c r="N235" s="422">
        <f t="shared" si="93"/>
        <v>0.94609023108979096</v>
      </c>
      <c r="O235" s="422">
        <f t="shared" si="93"/>
        <v>0.9161582047681136</v>
      </c>
      <c r="P235" s="422">
        <f t="shared" si="93"/>
        <v>0.88716718892687652</v>
      </c>
      <c r="Q235" s="422">
        <f t="shared" si="93"/>
        <v>0.85908775984659458</v>
      </c>
      <c r="R235" s="422">
        <f t="shared" si="93"/>
        <v>0.83189140951749274</v>
      </c>
      <c r="S235" s="422">
        <f t="shared" si="93"/>
        <v>0.80555051725840388</v>
      </c>
      <c r="T235" s="422">
        <f t="shared" si="93"/>
        <v>0.78003832221210201</v>
      </c>
      <c r="U235" s="422">
        <f t="shared" si="93"/>
        <v>0.75532889669009906</v>
      </c>
      <c r="V235" s="422">
        <f t="shared" si="93"/>
        <v>0.73139712034075044</v>
      </c>
      <c r="W235" s="422">
        <f t="shared" si="93"/>
        <v>0.70821865511532367</v>
      </c>
      <c r="X235" s="422">
        <f t="shared" si="93"/>
        <v>0.66808001652067117</v>
      </c>
      <c r="Y235" s="422">
        <f t="shared" si="93"/>
        <v>0.64689931782450338</v>
      </c>
      <c r="Z235" s="422">
        <f t="shared" si="93"/>
        <v>0.62638568969535846</v>
      </c>
      <c r="AA235" s="422">
        <f t="shared" si="93"/>
        <v>0.60651824200955329</v>
      </c>
      <c r="AB235" s="422">
        <f t="shared" si="93"/>
        <v>0.58727673564362448</v>
      </c>
      <c r="AC235" s="422">
        <f t="shared" si="93"/>
        <v>0.56864156227383644</v>
      </c>
    </row>
    <row r="236" spans="3:29" ht="15.75">
      <c r="C236" s="403" t="s">
        <v>202</v>
      </c>
      <c r="D236" s="416">
        <f t="shared" si="87"/>
        <v>569.64775553682159</v>
      </c>
      <c r="F236" s="422">
        <f t="shared" ref="F236:AC236" si="94">F215*F$189</f>
        <v>0</v>
      </c>
      <c r="G236" s="422">
        <f t="shared" si="94"/>
        <v>32779.276806152251</v>
      </c>
      <c r="H236" s="422">
        <f t="shared" si="94"/>
        <v>32119.22572581872</v>
      </c>
      <c r="I236" s="422">
        <f t="shared" si="94"/>
        <v>31469.816371980691</v>
      </c>
      <c r="J236" s="422">
        <f t="shared" si="94"/>
        <v>30830.988783543682</v>
      </c>
      <c r="K236" s="422">
        <f t="shared" si="94"/>
        <v>30202.677464529464</v>
      </c>
      <c r="L236" s="422">
        <f t="shared" si="94"/>
        <v>29584.811757363565</v>
      </c>
      <c r="M236" s="422">
        <f t="shared" si="94"/>
        <v>28977.316199113473</v>
      </c>
      <c r="N236" s="422">
        <f t="shared" si="94"/>
        <v>28060.731157273382</v>
      </c>
      <c r="O236" s="422">
        <f t="shared" si="94"/>
        <v>27172.956909105185</v>
      </c>
      <c r="P236" s="422">
        <f t="shared" si="94"/>
        <v>26313.092728328116</v>
      </c>
      <c r="Q236" s="422">
        <f t="shared" si="94"/>
        <v>25480.26591691087</v>
      </c>
      <c r="R236" s="422">
        <f t="shared" si="94"/>
        <v>24673.630936476828</v>
      </c>
      <c r="S236" s="422">
        <f t="shared" si="94"/>
        <v>23892.368566529734</v>
      </c>
      <c r="T236" s="422">
        <f t="shared" si="94"/>
        <v>23135.685088674178</v>
      </c>
      <c r="U236" s="422">
        <f t="shared" si="94"/>
        <v>22402.811496030783</v>
      </c>
      <c r="V236" s="422">
        <f t="shared" si="94"/>
        <v>21693.00272707063</v>
      </c>
      <c r="W236" s="422">
        <f t="shared" si="94"/>
        <v>21005.536923116906</v>
      </c>
      <c r="X236" s="422">
        <f t="shared" si="94"/>
        <v>19815.037846378629</v>
      </c>
      <c r="Y236" s="422">
        <f t="shared" si="94"/>
        <v>19186.825153439448</v>
      </c>
      <c r="Z236" s="422">
        <f t="shared" si="94"/>
        <v>18578.397558400058</v>
      </c>
      <c r="AA236" s="422">
        <f t="shared" si="94"/>
        <v>17989.135466928718</v>
      </c>
      <c r="AB236" s="422">
        <f t="shared" si="94"/>
        <v>17418.438593150247</v>
      </c>
      <c r="AC236" s="422">
        <f t="shared" si="94"/>
        <v>16865.725360505985</v>
      </c>
    </row>
    <row r="237" spans="3:29" ht="15.75">
      <c r="C237" s="402"/>
      <c r="D237" s="417"/>
      <c r="F237" s="413">
        <f>SUM(F230:F236)</f>
        <v>0</v>
      </c>
      <c r="G237" s="413">
        <f t="shared" ref="G237:AC237" si="95">SUM(G230:G236)</f>
        <v>41269.658323008203</v>
      </c>
      <c r="H237" s="413">
        <f t="shared" si="95"/>
        <v>125470.17397173052</v>
      </c>
      <c r="I237" s="413">
        <f t="shared" si="95"/>
        <v>122707.21845774406</v>
      </c>
      <c r="J237" s="413">
        <f t="shared" si="95"/>
        <v>120077.32135227585</v>
      </c>
      <c r="K237" s="413">
        <f t="shared" si="95"/>
        <v>117440.61650692188</v>
      </c>
      <c r="L237" s="413">
        <f t="shared" si="95"/>
        <v>114828.29073529142</v>
      </c>
      <c r="M237" s="413">
        <f t="shared" si="95"/>
        <v>112238.85387417387</v>
      </c>
      <c r="N237" s="413">
        <f t="shared" si="95"/>
        <v>108521.27310935064</v>
      </c>
      <c r="O237" s="413">
        <f t="shared" si="95"/>
        <v>104943.52071834328</v>
      </c>
      <c r="P237" s="413">
        <f t="shared" si="95"/>
        <v>101640.69430244861</v>
      </c>
      <c r="Q237" s="413">
        <f t="shared" si="95"/>
        <v>98440.864241031537</v>
      </c>
      <c r="R237" s="413">
        <f t="shared" si="95"/>
        <v>95341.886136757763</v>
      </c>
      <c r="S237" s="413">
        <f t="shared" si="95"/>
        <v>92339.58635458909</v>
      </c>
      <c r="T237" s="413">
        <f t="shared" si="95"/>
        <v>89431.924125457415</v>
      </c>
      <c r="U237" s="413">
        <f t="shared" si="95"/>
        <v>86615.008261887924</v>
      </c>
      <c r="V237" s="413">
        <f t="shared" si="95"/>
        <v>83886.897049835257</v>
      </c>
      <c r="W237" s="413">
        <f t="shared" si="95"/>
        <v>81243.962817030129</v>
      </c>
      <c r="X237" s="413">
        <f t="shared" si="95"/>
        <v>76655.703428904075</v>
      </c>
      <c r="Y237" s="413">
        <f t="shared" si="95"/>
        <v>74240.406144666049</v>
      </c>
      <c r="Z237" s="413">
        <f t="shared" si="95"/>
        <v>71926.900125953951</v>
      </c>
      <c r="AA237" s="413">
        <f t="shared" si="95"/>
        <v>69685.589843611146</v>
      </c>
      <c r="AB237" s="413">
        <f t="shared" si="95"/>
        <v>67513.567471706803</v>
      </c>
      <c r="AC237" s="413">
        <f t="shared" si="95"/>
        <v>65409.339535370033</v>
      </c>
    </row>
    <row r="238" spans="3:29" ht="15.75">
      <c r="C238" s="401" t="s">
        <v>182</v>
      </c>
      <c r="D238" s="418">
        <f>NPV(0.03,F218:AC218)/1000</f>
        <v>1361.9203927665765</v>
      </c>
    </row>
    <row r="239" spans="3:29" ht="15.75">
      <c r="C239" s="401" t="s">
        <v>183</v>
      </c>
      <c r="D239" s="419">
        <f>IRR(F239:AC239)</f>
        <v>0.14372048483239308</v>
      </c>
      <c r="F239" s="406">
        <f>F228+F237</f>
        <v>-518469.90291262139</v>
      </c>
      <c r="G239" s="406">
        <f t="shared" ref="G239:AC239" si="96">G228+G237</f>
        <v>-84696.632637781193</v>
      </c>
      <c r="H239" s="406">
        <f t="shared" si="96"/>
        <v>118559.39847106615</v>
      </c>
      <c r="I239" s="406">
        <f t="shared" si="96"/>
        <v>115936.16993215427</v>
      </c>
      <c r="J239" s="406">
        <f t="shared" si="96"/>
        <v>113443.72302816367</v>
      </c>
      <c r="K239" s="406">
        <f t="shared" si="96"/>
        <v>110942.20570281096</v>
      </c>
      <c r="L239" s="406">
        <f t="shared" si="96"/>
        <v>108462.81997239545</v>
      </c>
      <c r="M239" s="406">
        <f t="shared" si="96"/>
        <v>106004.09191031792</v>
      </c>
      <c r="N239" s="406">
        <f t="shared" si="96"/>
        <v>102483.72366566861</v>
      </c>
      <c r="O239" s="406">
        <f t="shared" si="96"/>
        <v>99096.984861873279</v>
      </c>
      <c r="P239" s="406">
        <f t="shared" si="96"/>
        <v>95979.166900576456</v>
      </c>
      <c r="Q239" s="406">
        <f t="shared" si="96"/>
        <v>92958.527930930068</v>
      </c>
      <c r="R239" s="406">
        <f t="shared" si="96"/>
        <v>90033.105481713123</v>
      </c>
      <c r="S239" s="406">
        <f t="shared" si="96"/>
        <v>87198.902181443176</v>
      </c>
      <c r="T239" s="406">
        <f t="shared" si="96"/>
        <v>84454.048037573608</v>
      </c>
      <c r="U239" s="406">
        <f t="shared" si="96"/>
        <v>81794.817322219023</v>
      </c>
      <c r="V239" s="406">
        <f t="shared" si="96"/>
        <v>79219.428628839756</v>
      </c>
      <c r="W239" s="406">
        <f t="shared" si="96"/>
        <v>76724.409600344457</v>
      </c>
      <c r="X239" s="406">
        <f t="shared" si="96"/>
        <v>72392.298100816886</v>
      </c>
      <c r="Y239" s="406">
        <f t="shared" si="96"/>
        <v>70112.167116184908</v>
      </c>
      <c r="Z239" s="406">
        <f t="shared" si="96"/>
        <v>67929.570433632383</v>
      </c>
      <c r="AA239" s="406">
        <f t="shared" si="96"/>
        <v>65815.045835974903</v>
      </c>
      <c r="AB239" s="406">
        <f t="shared" si="96"/>
        <v>63765.814654844617</v>
      </c>
      <c r="AC239" s="406">
        <f t="shared" si="96"/>
        <v>61780.508547435391</v>
      </c>
    </row>
    <row r="240" spans="3:29" ht="15.75">
      <c r="C240" s="401" t="s">
        <v>184</v>
      </c>
      <c r="D240" s="420">
        <f>SUM(D230:D236)/SUM(D224:D227)</f>
        <v>2.792121097964837</v>
      </c>
    </row>
    <row r="243" spans="3:29" ht="14.25">
      <c r="C243" s="412" t="s">
        <v>597</v>
      </c>
      <c r="D243" s="39"/>
      <c r="E243" s="39"/>
    </row>
    <row r="244" spans="3:29" ht="15.75">
      <c r="C244" s="401" t="s">
        <v>1</v>
      </c>
      <c r="D244" s="418">
        <f>SUM(D245:D248)</f>
        <v>690.26768951043732</v>
      </c>
      <c r="E244" s="39"/>
      <c r="F244" s="39"/>
    </row>
    <row r="245" spans="3:29" ht="15.75">
      <c r="C245" s="403" t="s">
        <v>196</v>
      </c>
      <c r="D245" s="416">
        <f>-SUM(F245:AC245)/1000</f>
        <v>535.24821381780077</v>
      </c>
      <c r="E245" s="39"/>
      <c r="F245" s="406">
        <f>F203*F$191</f>
        <v>-499087.85046728974</v>
      </c>
      <c r="G245" s="406">
        <f t="shared" ref="G245:AC245" si="97">G203*G$191</f>
        <v>-36160.363350510961</v>
      </c>
      <c r="H245" s="406">
        <f t="shared" si="97"/>
        <v>0</v>
      </c>
      <c r="I245" s="406">
        <f t="shared" si="97"/>
        <v>0</v>
      </c>
      <c r="J245" s="406">
        <f t="shared" si="97"/>
        <v>0</v>
      </c>
      <c r="K245" s="406">
        <f t="shared" si="97"/>
        <v>0</v>
      </c>
      <c r="L245" s="406">
        <f t="shared" si="97"/>
        <v>0</v>
      </c>
      <c r="M245" s="406">
        <f t="shared" si="97"/>
        <v>0</v>
      </c>
      <c r="N245" s="406">
        <f t="shared" si="97"/>
        <v>0</v>
      </c>
      <c r="O245" s="406">
        <f t="shared" si="97"/>
        <v>0</v>
      </c>
      <c r="P245" s="406">
        <f t="shared" si="97"/>
        <v>0</v>
      </c>
      <c r="Q245" s="406">
        <f t="shared" si="97"/>
        <v>0</v>
      </c>
      <c r="R245" s="406">
        <f t="shared" si="97"/>
        <v>0</v>
      </c>
      <c r="S245" s="406">
        <f t="shared" si="97"/>
        <v>0</v>
      </c>
      <c r="T245" s="406">
        <f t="shared" si="97"/>
        <v>0</v>
      </c>
      <c r="U245" s="406">
        <f t="shared" si="97"/>
        <v>0</v>
      </c>
      <c r="V245" s="406">
        <f t="shared" si="97"/>
        <v>0</v>
      </c>
      <c r="W245" s="406">
        <f t="shared" si="97"/>
        <v>0</v>
      </c>
      <c r="X245" s="406">
        <f t="shared" si="97"/>
        <v>0</v>
      </c>
      <c r="Y245" s="406">
        <f t="shared" si="97"/>
        <v>0</v>
      </c>
      <c r="Z245" s="406">
        <f t="shared" si="97"/>
        <v>0</v>
      </c>
      <c r="AA245" s="406">
        <f t="shared" si="97"/>
        <v>0</v>
      </c>
      <c r="AB245" s="406">
        <f t="shared" si="97"/>
        <v>0</v>
      </c>
      <c r="AC245" s="406">
        <f t="shared" si="97"/>
        <v>0</v>
      </c>
    </row>
    <row r="246" spans="3:29" ht="15.75">
      <c r="C246" s="403" t="s">
        <v>197</v>
      </c>
      <c r="D246" s="416">
        <f>-SUM(F246:AC246)/1000</f>
        <v>0</v>
      </c>
      <c r="F246" s="406">
        <f t="shared" ref="F246:AC246" si="98">F204*F$191</f>
        <v>0</v>
      </c>
      <c r="G246" s="406">
        <f t="shared" si="98"/>
        <v>0</v>
      </c>
      <c r="H246" s="406">
        <f t="shared" si="98"/>
        <v>0</v>
      </c>
      <c r="I246" s="406">
        <f t="shared" si="98"/>
        <v>0</v>
      </c>
      <c r="J246" s="406">
        <f t="shared" si="98"/>
        <v>0</v>
      </c>
      <c r="K246" s="406">
        <f t="shared" si="98"/>
        <v>0</v>
      </c>
      <c r="L246" s="406">
        <f t="shared" si="98"/>
        <v>0</v>
      </c>
      <c r="M246" s="406">
        <f t="shared" si="98"/>
        <v>0</v>
      </c>
      <c r="N246" s="406">
        <f t="shared" si="98"/>
        <v>0</v>
      </c>
      <c r="O246" s="406">
        <f t="shared" si="98"/>
        <v>0</v>
      </c>
      <c r="P246" s="406">
        <f t="shared" si="98"/>
        <v>0</v>
      </c>
      <c r="Q246" s="406">
        <f t="shared" si="98"/>
        <v>0</v>
      </c>
      <c r="R246" s="406">
        <f t="shared" si="98"/>
        <v>0</v>
      </c>
      <c r="S246" s="406">
        <f t="shared" si="98"/>
        <v>0</v>
      </c>
      <c r="T246" s="406">
        <f t="shared" si="98"/>
        <v>0</v>
      </c>
      <c r="U246" s="406">
        <f t="shared" si="98"/>
        <v>0</v>
      </c>
      <c r="V246" s="406">
        <f t="shared" si="98"/>
        <v>0</v>
      </c>
      <c r="W246" s="406">
        <f t="shared" si="98"/>
        <v>0</v>
      </c>
      <c r="X246" s="406">
        <f t="shared" si="98"/>
        <v>0</v>
      </c>
      <c r="Y246" s="406">
        <f t="shared" si="98"/>
        <v>0</v>
      </c>
      <c r="Z246" s="406">
        <f t="shared" si="98"/>
        <v>0</v>
      </c>
      <c r="AA246" s="406">
        <f t="shared" si="98"/>
        <v>0</v>
      </c>
      <c r="AB246" s="406">
        <f t="shared" si="98"/>
        <v>0</v>
      </c>
      <c r="AC246" s="406">
        <f t="shared" si="98"/>
        <v>0</v>
      </c>
    </row>
    <row r="247" spans="3:29" ht="15.75">
      <c r="C247" s="404" t="s">
        <v>546</v>
      </c>
      <c r="D247" s="416">
        <f>-SUM(F247:AC247)/1000</f>
        <v>74.028588424981507</v>
      </c>
      <c r="F247" s="406">
        <f t="shared" ref="F247:AC247" si="99">F205*F$191</f>
        <v>0</v>
      </c>
      <c r="G247" s="406">
        <f t="shared" si="99"/>
        <v>-74028.588424981514</v>
      </c>
      <c r="H247" s="406">
        <f t="shared" si="99"/>
        <v>0</v>
      </c>
      <c r="I247" s="406">
        <f t="shared" si="99"/>
        <v>0</v>
      </c>
      <c r="J247" s="406">
        <f t="shared" si="99"/>
        <v>0</v>
      </c>
      <c r="K247" s="406">
        <f t="shared" si="99"/>
        <v>0</v>
      </c>
      <c r="L247" s="406">
        <f t="shared" si="99"/>
        <v>0</v>
      </c>
      <c r="M247" s="406">
        <f t="shared" si="99"/>
        <v>0</v>
      </c>
      <c r="N247" s="406">
        <f t="shared" si="99"/>
        <v>0</v>
      </c>
      <c r="O247" s="406">
        <f t="shared" si="99"/>
        <v>0</v>
      </c>
      <c r="P247" s="406">
        <f t="shared" si="99"/>
        <v>0</v>
      </c>
      <c r="Q247" s="406">
        <f t="shared" si="99"/>
        <v>0</v>
      </c>
      <c r="R247" s="406">
        <f t="shared" si="99"/>
        <v>0</v>
      </c>
      <c r="S247" s="406">
        <f t="shared" si="99"/>
        <v>0</v>
      </c>
      <c r="T247" s="406">
        <f t="shared" si="99"/>
        <v>0</v>
      </c>
      <c r="U247" s="406">
        <f t="shared" si="99"/>
        <v>0</v>
      </c>
      <c r="V247" s="406">
        <f t="shared" si="99"/>
        <v>0</v>
      </c>
      <c r="W247" s="406">
        <f t="shared" si="99"/>
        <v>0</v>
      </c>
      <c r="X247" s="406">
        <f t="shared" si="99"/>
        <v>0</v>
      </c>
      <c r="Y247" s="406">
        <f t="shared" si="99"/>
        <v>0</v>
      </c>
      <c r="Z247" s="406">
        <f t="shared" si="99"/>
        <v>0</v>
      </c>
      <c r="AA247" s="406">
        <f t="shared" si="99"/>
        <v>0</v>
      </c>
      <c r="AB247" s="406">
        <f t="shared" si="99"/>
        <v>0</v>
      </c>
      <c r="AC247" s="406">
        <f t="shared" si="99"/>
        <v>0</v>
      </c>
    </row>
    <row r="248" spans="3:29" ht="15.75">
      <c r="C248" s="403" t="s">
        <v>198</v>
      </c>
      <c r="D248" s="416">
        <f>-SUM(F248:AC248)/1000</f>
        <v>80.990887267655012</v>
      </c>
      <c r="F248" s="406">
        <f t="shared" ref="F248:AC248" si="100">F206*F$191</f>
        <v>0</v>
      </c>
      <c r="G248" s="406">
        <f t="shared" si="100"/>
        <v>-6535.3368788017515</v>
      </c>
      <c r="H248" s="406">
        <f t="shared" si="100"/>
        <v>-6164.3476845420737</v>
      </c>
      <c r="I248" s="406">
        <f t="shared" si="100"/>
        <v>-5813.9288724939142</v>
      </c>
      <c r="J248" s="406">
        <f t="shared" si="100"/>
        <v>-5482.9767687963176</v>
      </c>
      <c r="K248" s="406">
        <f t="shared" si="100"/>
        <v>-5170.4440673685112</v>
      </c>
      <c r="L248" s="406">
        <f t="shared" si="100"/>
        <v>-4875.3371782446438</v>
      </c>
      <c r="M248" s="406">
        <f t="shared" si="100"/>
        <v>-4596.7136816097718</v>
      </c>
      <c r="N248" s="406">
        <f t="shared" si="100"/>
        <v>-4284.9101883469766</v>
      </c>
      <c r="O248" s="406">
        <f t="shared" si="100"/>
        <v>-3994.2301698425686</v>
      </c>
      <c r="P248" s="406">
        <f t="shared" si="100"/>
        <v>-3723.2442790777545</v>
      </c>
      <c r="Q248" s="406">
        <f t="shared" si="100"/>
        <v>-3470.6197811021284</v>
      </c>
      <c r="R248" s="406">
        <f t="shared" si="100"/>
        <v>-3235.1140295928017</v>
      </c>
      <c r="S248" s="406">
        <f t="shared" si="100"/>
        <v>-3015.5683834627193</v>
      </c>
      <c r="T248" s="406">
        <f t="shared" si="100"/>
        <v>-2810.9025338609645</v>
      </c>
      <c r="U248" s="406">
        <f t="shared" si="100"/>
        <v>-2620.1092139049206</v>
      </c>
      <c r="V248" s="406">
        <f t="shared" si="100"/>
        <v>-2442.2492653468134</v>
      </c>
      <c r="W248" s="406">
        <f t="shared" si="100"/>
        <v>-2276.4470381144724</v>
      </c>
      <c r="X248" s="406">
        <f t="shared" si="100"/>
        <v>-2067.150596007325</v>
      </c>
      <c r="Y248" s="406">
        <f t="shared" si="100"/>
        <v>-1926.7873029498078</v>
      </c>
      <c r="Z248" s="406">
        <f t="shared" si="100"/>
        <v>-1795.9422065728563</v>
      </c>
      <c r="AA248" s="406">
        <f t="shared" si="100"/>
        <v>-1673.9706691554763</v>
      </c>
      <c r="AB248" s="406">
        <f t="shared" si="100"/>
        <v>-1560.2716616471862</v>
      </c>
      <c r="AC248" s="406">
        <f t="shared" si="100"/>
        <v>-1454.2848168132596</v>
      </c>
    </row>
    <row r="249" spans="3:29" ht="15.75">
      <c r="C249" s="402"/>
      <c r="D249" s="417"/>
      <c r="F249" s="414">
        <f>SUM(F245:F248)</f>
        <v>-499087.85046728974</v>
      </c>
      <c r="G249" s="414">
        <f t="shared" ref="G249:AC249" si="101">SUM(G245:G248)</f>
        <v>-116724.28865429423</v>
      </c>
      <c r="H249" s="414">
        <f t="shared" si="101"/>
        <v>-6164.3476845420737</v>
      </c>
      <c r="I249" s="414">
        <f t="shared" si="101"/>
        <v>-5813.9288724939142</v>
      </c>
      <c r="J249" s="414">
        <f t="shared" si="101"/>
        <v>-5482.9767687963176</v>
      </c>
      <c r="K249" s="414">
        <f t="shared" si="101"/>
        <v>-5170.4440673685112</v>
      </c>
      <c r="L249" s="414">
        <f t="shared" si="101"/>
        <v>-4875.3371782446438</v>
      </c>
      <c r="M249" s="414">
        <f t="shared" si="101"/>
        <v>-4596.7136816097718</v>
      </c>
      <c r="N249" s="414">
        <f t="shared" si="101"/>
        <v>-4284.9101883469766</v>
      </c>
      <c r="O249" s="414">
        <f t="shared" si="101"/>
        <v>-3994.2301698425686</v>
      </c>
      <c r="P249" s="414">
        <f t="shared" si="101"/>
        <v>-3723.2442790777545</v>
      </c>
      <c r="Q249" s="414">
        <f t="shared" si="101"/>
        <v>-3470.6197811021284</v>
      </c>
      <c r="R249" s="414">
        <f t="shared" si="101"/>
        <v>-3235.1140295928017</v>
      </c>
      <c r="S249" s="414">
        <f t="shared" si="101"/>
        <v>-3015.5683834627193</v>
      </c>
      <c r="T249" s="414">
        <f t="shared" si="101"/>
        <v>-2810.9025338609645</v>
      </c>
      <c r="U249" s="414">
        <f t="shared" si="101"/>
        <v>-2620.1092139049206</v>
      </c>
      <c r="V249" s="414">
        <f t="shared" si="101"/>
        <v>-2442.2492653468134</v>
      </c>
      <c r="W249" s="414">
        <f t="shared" si="101"/>
        <v>-2276.4470381144724</v>
      </c>
      <c r="X249" s="414">
        <f t="shared" si="101"/>
        <v>-2067.150596007325</v>
      </c>
      <c r="Y249" s="414">
        <f t="shared" si="101"/>
        <v>-1926.7873029498078</v>
      </c>
      <c r="Z249" s="414">
        <f t="shared" si="101"/>
        <v>-1795.9422065728563</v>
      </c>
      <c r="AA249" s="414">
        <f t="shared" si="101"/>
        <v>-1673.9706691554763</v>
      </c>
      <c r="AB249" s="414">
        <f t="shared" si="101"/>
        <v>-1560.2716616471862</v>
      </c>
      <c r="AC249" s="414">
        <f t="shared" si="101"/>
        <v>-1454.2848168132596</v>
      </c>
    </row>
    <row r="250" spans="3:29" ht="15.75">
      <c r="C250" s="401" t="s">
        <v>0</v>
      </c>
      <c r="D250" s="418">
        <f>SUM(D251:D257)</f>
        <v>1380.0429238560346</v>
      </c>
      <c r="F250" s="406"/>
      <c r="G250" s="406"/>
      <c r="H250" s="406"/>
      <c r="I250" s="406"/>
      <c r="J250" s="406"/>
      <c r="K250" s="406"/>
      <c r="L250" s="406"/>
      <c r="M250" s="406"/>
      <c r="N250" s="406"/>
      <c r="O250" s="406"/>
      <c r="P250" s="406"/>
      <c r="Q250" s="406"/>
      <c r="R250" s="406"/>
      <c r="S250" s="406"/>
      <c r="T250" s="406"/>
      <c r="U250" s="406"/>
      <c r="V250" s="406"/>
      <c r="W250" s="406"/>
      <c r="X250" s="406"/>
      <c r="Y250" s="406"/>
      <c r="Z250" s="406"/>
      <c r="AA250" s="406"/>
      <c r="AB250" s="406"/>
      <c r="AC250" s="406"/>
    </row>
    <row r="251" spans="3:29" ht="15.75">
      <c r="C251" s="403" t="s">
        <v>577</v>
      </c>
      <c r="D251" s="416">
        <f t="shared" ref="D251:D257" si="102">SUM(F251:AC251)/1000</f>
        <v>129.31117498164116</v>
      </c>
      <c r="F251" s="406">
        <f>F209*F$191</f>
        <v>0</v>
      </c>
      <c r="G251" s="406">
        <f t="shared" ref="G251:AC251" si="103">G209*G$191</f>
        <v>-14823.119437207873</v>
      </c>
      <c r="H251" s="406">
        <f t="shared" si="103"/>
        <v>11643.874015334713</v>
      </c>
      <c r="I251" s="406">
        <f t="shared" si="103"/>
        <v>11015.448812608325</v>
      </c>
      <c r="J251" s="406">
        <f t="shared" si="103"/>
        <v>10420.201087655474</v>
      </c>
      <c r="K251" s="406">
        <f t="shared" si="103"/>
        <v>9856.4355719658161</v>
      </c>
      <c r="L251" s="406">
        <f t="shared" si="103"/>
        <v>9322.539280336252</v>
      </c>
      <c r="M251" s="406">
        <f t="shared" si="103"/>
        <v>8816.9778603154882</v>
      </c>
      <c r="N251" s="406">
        <f t="shared" si="103"/>
        <v>8244.4558928724309</v>
      </c>
      <c r="O251" s="406">
        <f t="shared" si="103"/>
        <v>7709.1523018740272</v>
      </c>
      <c r="P251" s="406">
        <f t="shared" si="103"/>
        <v>7208.6452422244483</v>
      </c>
      <c r="Q251" s="406">
        <f t="shared" si="103"/>
        <v>6740.6705946589536</v>
      </c>
      <c r="R251" s="406">
        <f t="shared" si="103"/>
        <v>6303.111686041183</v>
      </c>
      <c r="S251" s="406">
        <f t="shared" si="103"/>
        <v>5893.9896800712204</v>
      </c>
      <c r="T251" s="406">
        <f t="shared" si="103"/>
        <v>5511.4545946569988</v>
      </c>
      <c r="U251" s="406">
        <f t="shared" si="103"/>
        <v>5153.7769050580282</v>
      </c>
      <c r="V251" s="406">
        <f t="shared" si="103"/>
        <v>4819.3396945798104</v>
      </c>
      <c r="W251" s="406">
        <f t="shared" si="103"/>
        <v>4506.6313170926751</v>
      </c>
      <c r="X251" s="406">
        <f t="shared" si="103"/>
        <v>4105.5293704632841</v>
      </c>
      <c r="Y251" s="406">
        <f t="shared" si="103"/>
        <v>3839.1852576609299</v>
      </c>
      <c r="Z251" s="406">
        <f t="shared" si="103"/>
        <v>3590.141945228062</v>
      </c>
      <c r="AA251" s="406">
        <f t="shared" si="103"/>
        <v>3357.2744176174674</v>
      </c>
      <c r="AB251" s="406">
        <f t="shared" si="103"/>
        <v>3139.53088368825</v>
      </c>
      <c r="AC251" s="406">
        <f t="shared" si="103"/>
        <v>2935.9280068452149</v>
      </c>
    </row>
    <row r="252" spans="3:29" ht="15.75">
      <c r="C252" s="403" t="s">
        <v>578</v>
      </c>
      <c r="D252" s="416">
        <f t="shared" si="102"/>
        <v>189.22991471101136</v>
      </c>
      <c r="F252" s="406">
        <f t="shared" ref="F252:AC252" si="104">F210*F$191</f>
        <v>0</v>
      </c>
      <c r="G252" s="406">
        <f t="shared" si="104"/>
        <v>15269.38748178489</v>
      </c>
      <c r="H252" s="406">
        <f t="shared" si="104"/>
        <v>14402.595476451444</v>
      </c>
      <c r="I252" s="406">
        <f t="shared" si="104"/>
        <v>13583.86482471936</v>
      </c>
      <c r="J252" s="406">
        <f t="shared" si="104"/>
        <v>12810.616864746256</v>
      </c>
      <c r="K252" s="406">
        <f t="shared" si="104"/>
        <v>12080.404634324072</v>
      </c>
      <c r="L252" s="406">
        <f t="shared" si="104"/>
        <v>11390.906675436503</v>
      </c>
      <c r="M252" s="406">
        <f t="shared" si="104"/>
        <v>10739.921085780457</v>
      </c>
      <c r="N252" s="406">
        <f t="shared" si="104"/>
        <v>10011.412602576354</v>
      </c>
      <c r="O252" s="406">
        <f t="shared" si="104"/>
        <v>9332.2577375604269</v>
      </c>
      <c r="P252" s="406">
        <f t="shared" si="104"/>
        <v>8699.1169148423123</v>
      </c>
      <c r="Q252" s="406">
        <f t="shared" si="104"/>
        <v>8108.8762863150687</v>
      </c>
      <c r="R252" s="406">
        <f t="shared" si="104"/>
        <v>7558.6324900619529</v>
      </c>
      <c r="S252" s="406">
        <f t="shared" si="104"/>
        <v>7045.6784369093493</v>
      </c>
      <c r="T252" s="406">
        <f t="shared" si="104"/>
        <v>6567.490055833744</v>
      </c>
      <c r="U252" s="406">
        <f t="shared" si="104"/>
        <v>6121.7139335967004</v>
      </c>
      <c r="V252" s="406">
        <f t="shared" si="104"/>
        <v>5706.1557883336482</v>
      </c>
      <c r="W252" s="406">
        <f t="shared" si="104"/>
        <v>5318.7697208815689</v>
      </c>
      <c r="X252" s="406">
        <f t="shared" si="104"/>
        <v>4829.7622630626629</v>
      </c>
      <c r="Y252" s="406">
        <f t="shared" si="104"/>
        <v>4501.8126026761383</v>
      </c>
      <c r="Z252" s="406">
        <f t="shared" si="104"/>
        <v>4196.1015867449332</v>
      </c>
      <c r="AA252" s="406">
        <f t="shared" si="104"/>
        <v>3911.1230613660732</v>
      </c>
      <c r="AB252" s="406">
        <f t="shared" si="104"/>
        <v>3645.4727614450735</v>
      </c>
      <c r="AC252" s="406">
        <f t="shared" si="104"/>
        <v>3397.841425562392</v>
      </c>
    </row>
    <row r="253" spans="3:29" ht="15.75">
      <c r="C253" s="403" t="s">
        <v>199</v>
      </c>
      <c r="D253" s="416">
        <f t="shared" si="102"/>
        <v>5.4575914371232761</v>
      </c>
      <c r="F253" s="406">
        <f t="shared" ref="F253:AC253" si="105">F211*F$191</f>
        <v>0</v>
      </c>
      <c r="G253" s="406">
        <f t="shared" si="105"/>
        <v>282.20395887221031</v>
      </c>
      <c r="H253" s="406">
        <f t="shared" si="105"/>
        <v>283.81309265650486</v>
      </c>
      <c r="I253" s="406">
        <f t="shared" si="105"/>
        <v>284.42095609935359</v>
      </c>
      <c r="J253" s="406">
        <f t="shared" si="105"/>
        <v>284.12843409986914</v>
      </c>
      <c r="K253" s="406">
        <f t="shared" si="105"/>
        <v>283.02880475063256</v>
      </c>
      <c r="L253" s="406">
        <f t="shared" si="105"/>
        <v>281.20822859576094</v>
      </c>
      <c r="M253" s="406">
        <f t="shared" si="105"/>
        <v>278.74621067780316</v>
      </c>
      <c r="N253" s="406">
        <f t="shared" si="105"/>
        <v>272.61322608792693</v>
      </c>
      <c r="O253" s="406">
        <f t="shared" si="105"/>
        <v>266.11184657384337</v>
      </c>
      <c r="P253" s="406">
        <f t="shared" si="105"/>
        <v>259.31529209755365</v>
      </c>
      <c r="Q253" s="406">
        <f t="shared" si="105"/>
        <v>252.28884809528449</v>
      </c>
      <c r="R253" s="406">
        <f t="shared" si="105"/>
        <v>245.09058636368064</v>
      </c>
      <c r="S253" s="406">
        <f t="shared" si="105"/>
        <v>237.77202580589534</v>
      </c>
      <c r="T253" s="406">
        <f t="shared" si="105"/>
        <v>230.37873780829841</v>
      </c>
      <c r="U253" s="406">
        <f t="shared" si="105"/>
        <v>222.95090065241942</v>
      </c>
      <c r="V253" s="406">
        <f t="shared" si="105"/>
        <v>215.5238070281238</v>
      </c>
      <c r="W253" s="406">
        <f t="shared" si="105"/>
        <v>208.12832840080765</v>
      </c>
      <c r="X253" s="406">
        <f t="shared" si="105"/>
        <v>195.61178965684542</v>
      </c>
      <c r="Y253" s="406">
        <f t="shared" si="105"/>
        <v>188.54379971201379</v>
      </c>
      <c r="Z253" s="406">
        <f t="shared" si="105"/>
        <v>181.57494786192333</v>
      </c>
      <c r="AA253" s="406">
        <f t="shared" si="105"/>
        <v>174.72187659538756</v>
      </c>
      <c r="AB253" s="406">
        <f t="shared" si="105"/>
        <v>167.99866205160768</v>
      </c>
      <c r="AC253" s="406">
        <f t="shared" si="105"/>
        <v>161.41707657952929</v>
      </c>
    </row>
    <row r="254" spans="3:29" ht="15.75">
      <c r="C254" s="403" t="s">
        <v>200</v>
      </c>
      <c r="D254" s="416">
        <f t="shared" si="102"/>
        <v>620.56712630563948</v>
      </c>
      <c r="F254" s="406">
        <f t="shared" ref="F254:AC254" si="106">F212*F$191</f>
        <v>0</v>
      </c>
      <c r="G254" s="406">
        <f t="shared" si="106"/>
        <v>888.49633165057776</v>
      </c>
      <c r="H254" s="406">
        <f t="shared" si="106"/>
        <v>51304.630855461939</v>
      </c>
      <c r="I254" s="406">
        <f t="shared" si="106"/>
        <v>48388.165283277754</v>
      </c>
      <c r="J254" s="406">
        <f t="shared" si="106"/>
        <v>45633.717224868939</v>
      </c>
      <c r="K254" s="406">
        <f t="shared" si="106"/>
        <v>43032.570161535332</v>
      </c>
      <c r="L254" s="406">
        <f t="shared" si="106"/>
        <v>40576.454643040131</v>
      </c>
      <c r="M254" s="406">
        <f t="shared" si="106"/>
        <v>38257.527098061451</v>
      </c>
      <c r="N254" s="406">
        <f t="shared" si="106"/>
        <v>35662.449088200701</v>
      </c>
      <c r="O254" s="406">
        <f t="shared" si="106"/>
        <v>33243.177527022468</v>
      </c>
      <c r="P254" s="406">
        <f t="shared" si="106"/>
        <v>30987.816245634902</v>
      </c>
      <c r="Q254" s="406">
        <f t="shared" si="106"/>
        <v>28885.273158036704</v>
      </c>
      <c r="R254" s="406">
        <f t="shared" si="106"/>
        <v>26925.205967825681</v>
      </c>
      <c r="S254" s="406">
        <f t="shared" si="106"/>
        <v>25097.971537348472</v>
      </c>
      <c r="T254" s="406">
        <f t="shared" si="106"/>
        <v>23394.578672460524</v>
      </c>
      <c r="U254" s="406">
        <f t="shared" si="106"/>
        <v>21806.644092686729</v>
      </c>
      <c r="V254" s="406">
        <f t="shared" si="106"/>
        <v>20326.351372075365</v>
      </c>
      <c r="W254" s="406">
        <f t="shared" si="106"/>
        <v>18946.41265049747</v>
      </c>
      <c r="X254" s="406">
        <f t="shared" si="106"/>
        <v>17204.480291848162</v>
      </c>
      <c r="Y254" s="406">
        <f t="shared" si="106"/>
        <v>16036.26472314636</v>
      </c>
      <c r="Z254" s="406">
        <f t="shared" si="106"/>
        <v>14947.267198606907</v>
      </c>
      <c r="AA254" s="406">
        <f t="shared" si="106"/>
        <v>13932.122527620244</v>
      </c>
      <c r="AB254" s="406">
        <f t="shared" si="106"/>
        <v>12985.82846580524</v>
      </c>
      <c r="AC254" s="406">
        <f t="shared" si="106"/>
        <v>12103.721188927388</v>
      </c>
    </row>
    <row r="255" spans="3:29" ht="15.75">
      <c r="C255" s="403" t="s">
        <v>201</v>
      </c>
      <c r="D255" s="416">
        <f t="shared" si="102"/>
        <v>59.042909182406753</v>
      </c>
      <c r="F255" s="406">
        <f t="shared" ref="F255:AC255" si="107">F213*F$191</f>
        <v>0</v>
      </c>
      <c r="G255" s="406">
        <f t="shared" si="107"/>
        <v>6249.4595328105343</v>
      </c>
      <c r="H255" s="406">
        <f t="shared" si="107"/>
        <v>5632.3010838365553</v>
      </c>
      <c r="I255" s="406">
        <f t="shared" si="107"/>
        <v>5067.7539418134002</v>
      </c>
      <c r="J255" s="406">
        <f t="shared" si="107"/>
        <v>4616.7114923811796</v>
      </c>
      <c r="K255" s="406">
        <f t="shared" si="107"/>
        <v>4157.3954569833013</v>
      </c>
      <c r="L255" s="406">
        <f t="shared" si="107"/>
        <v>3716.4173765271998</v>
      </c>
      <c r="M255" s="406">
        <f t="shared" si="107"/>
        <v>3292.4845900495816</v>
      </c>
      <c r="N255" s="406">
        <f t="shared" si="107"/>
        <v>2912.0619317100377</v>
      </c>
      <c r="O255" s="406">
        <f t="shared" si="107"/>
        <v>2579.8860433175178</v>
      </c>
      <c r="P255" s="406">
        <f t="shared" si="107"/>
        <v>2382.9321549157171</v>
      </c>
      <c r="Q255" s="406">
        <f t="shared" si="107"/>
        <v>2200.4104285560747</v>
      </c>
      <c r="R255" s="406">
        <f t="shared" si="107"/>
        <v>2031.9295929984251</v>
      </c>
      <c r="S255" s="406">
        <f t="shared" si="107"/>
        <v>1875.8269007552767</v>
      </c>
      <c r="T255" s="406">
        <f t="shared" si="107"/>
        <v>1731.7573233354817</v>
      </c>
      <c r="U255" s="406">
        <f t="shared" si="107"/>
        <v>1598.3010779555545</v>
      </c>
      <c r="V255" s="406">
        <f t="shared" si="107"/>
        <v>1475.1540568441083</v>
      </c>
      <c r="W255" s="406">
        <f t="shared" si="107"/>
        <v>1361.1044118665834</v>
      </c>
      <c r="X255" s="406">
        <f t="shared" si="107"/>
        <v>1224.002660995845</v>
      </c>
      <c r="Y255" s="406">
        <f t="shared" si="107"/>
        <v>1129.2402617779437</v>
      </c>
      <c r="Z255" s="406">
        <f t="shared" si="107"/>
        <v>1053.3407063201521</v>
      </c>
      <c r="AA255" s="406">
        <f t="shared" si="107"/>
        <v>982.68322020300104</v>
      </c>
      <c r="AB255" s="406">
        <f t="shared" si="107"/>
        <v>916.62514524930896</v>
      </c>
      <c r="AC255" s="406">
        <f t="shared" si="107"/>
        <v>855.1297912039862</v>
      </c>
    </row>
    <row r="256" spans="3:29" ht="15.75">
      <c r="C256" s="403" t="s">
        <v>579</v>
      </c>
      <c r="D256" s="416">
        <f t="shared" si="102"/>
        <v>1.2691355651158531E-2</v>
      </c>
      <c r="F256" s="406">
        <f t="shared" ref="F256:AC256" si="108">F214*F$191</f>
        <v>0</v>
      </c>
      <c r="G256" s="406">
        <f t="shared" si="108"/>
        <v>1.0240940360969437</v>
      </c>
      <c r="H256" s="406">
        <f t="shared" si="108"/>
        <v>0.96595964634113862</v>
      </c>
      <c r="I256" s="406">
        <f t="shared" si="108"/>
        <v>0.91104865671507795</v>
      </c>
      <c r="J256" s="406">
        <f t="shared" si="108"/>
        <v>0.85918812038529868</v>
      </c>
      <c r="K256" s="406">
        <f t="shared" si="108"/>
        <v>0.81021392340768705</v>
      </c>
      <c r="L256" s="406">
        <f t="shared" si="108"/>
        <v>0.76397036920879702</v>
      </c>
      <c r="M256" s="406">
        <f t="shared" si="108"/>
        <v>0.72030977963065645</v>
      </c>
      <c r="N256" s="406">
        <f t="shared" si="108"/>
        <v>0.6714498503253491</v>
      </c>
      <c r="O256" s="406">
        <f t="shared" si="108"/>
        <v>0.62589999132290186</v>
      </c>
      <c r="P256" s="406">
        <f t="shared" si="108"/>
        <v>0.58343622246978855</v>
      </c>
      <c r="Q256" s="406">
        <f t="shared" si="108"/>
        <v>0.54384970282334333</v>
      </c>
      <c r="R256" s="406">
        <f t="shared" si="108"/>
        <v>0.50694570842184128</v>
      </c>
      <c r="S256" s="406">
        <f t="shared" si="108"/>
        <v>0.47254267901074076</v>
      </c>
      <c r="T256" s="406">
        <f t="shared" si="108"/>
        <v>0.44047132907777437</v>
      </c>
      <c r="U256" s="406">
        <f t="shared" si="108"/>
        <v>0.41057381886251743</v>
      </c>
      <c r="V256" s="406">
        <f t="shared" si="108"/>
        <v>0.38270298129794134</v>
      </c>
      <c r="W256" s="406">
        <f t="shared" si="108"/>
        <v>0.35672160111370171</v>
      </c>
      <c r="X256" s="406">
        <f t="shared" si="108"/>
        <v>0.32392463255444093</v>
      </c>
      <c r="Y256" s="406">
        <f t="shared" si="108"/>
        <v>0.30192955961896789</v>
      </c>
      <c r="Z256" s="406">
        <f t="shared" si="108"/>
        <v>0.28142599793008155</v>
      </c>
      <c r="AA256" s="406">
        <f t="shared" si="108"/>
        <v>0.26231293209136747</v>
      </c>
      <c r="AB256" s="406">
        <f t="shared" si="108"/>
        <v>0.24449618023010292</v>
      </c>
      <c r="AC256" s="406">
        <f t="shared" si="108"/>
        <v>0.22788793222207418</v>
      </c>
    </row>
    <row r="257" spans="3:29" ht="15.75">
      <c r="C257" s="403" t="s">
        <v>202</v>
      </c>
      <c r="D257" s="416">
        <f t="shared" si="102"/>
        <v>376.42151588256127</v>
      </c>
      <c r="F257" s="406">
        <f t="shared" ref="F257:AC257" si="109">F215*F$191</f>
        <v>0</v>
      </c>
      <c r="G257" s="406">
        <f t="shared" si="109"/>
        <v>30374.298858980626</v>
      </c>
      <c r="H257" s="406">
        <f t="shared" si="109"/>
        <v>28650.0516061042</v>
      </c>
      <c r="I257" s="406">
        <f t="shared" si="109"/>
        <v>27021.409361588234</v>
      </c>
      <c r="J257" s="406">
        <f t="shared" si="109"/>
        <v>25483.24257812438</v>
      </c>
      <c r="K257" s="406">
        <f t="shared" si="109"/>
        <v>24030.683689054025</v>
      </c>
      <c r="L257" s="406">
        <f t="shared" si="109"/>
        <v>22659.114784218036</v>
      </c>
      <c r="M257" s="406">
        <f t="shared" si="109"/>
        <v>21364.15577707448</v>
      </c>
      <c r="N257" s="406">
        <f t="shared" si="109"/>
        <v>19914.986030315416</v>
      </c>
      <c r="O257" s="406">
        <f t="shared" si="109"/>
        <v>18563.99190130187</v>
      </c>
      <c r="P257" s="406">
        <f t="shared" si="109"/>
        <v>17304.530210909757</v>
      </c>
      <c r="Q257" s="406">
        <f t="shared" si="109"/>
        <v>16130.406804127013</v>
      </c>
      <c r="R257" s="406">
        <f t="shared" si="109"/>
        <v>15035.846231043797</v>
      </c>
      <c r="S257" s="406">
        <f t="shared" si="109"/>
        <v>14015.463473060279</v>
      </c>
      <c r="T257" s="406">
        <f t="shared" si="109"/>
        <v>13064.237576474108</v>
      </c>
      <c r="U257" s="406">
        <f t="shared" si="109"/>
        <v>12177.487064891522</v>
      </c>
      <c r="V257" s="406">
        <f t="shared" si="109"/>
        <v>11350.84701056315</v>
      </c>
      <c r="W257" s="406">
        <f t="shared" si="109"/>
        <v>10580.247652820004</v>
      </c>
      <c r="X257" s="406">
        <f t="shared" si="109"/>
        <v>9607.5001417767144</v>
      </c>
      <c r="Y257" s="406">
        <f t="shared" si="109"/>
        <v>8955.1333715205819</v>
      </c>
      <c r="Z257" s="406">
        <f t="shared" si="109"/>
        <v>8347.0043438530192</v>
      </c>
      <c r="AA257" s="406">
        <f t="shared" si="109"/>
        <v>7780.1169746920114</v>
      </c>
      <c r="AB257" s="406">
        <f t="shared" si="109"/>
        <v>7251.677860064533</v>
      </c>
      <c r="AC257" s="406">
        <f t="shared" si="109"/>
        <v>6759.0825800035736</v>
      </c>
    </row>
    <row r="258" spans="3:29" ht="15.75">
      <c r="C258" s="402"/>
      <c r="D258" s="417"/>
      <c r="F258" s="413">
        <f>SUM(F251:F257)</f>
        <v>0</v>
      </c>
      <c r="G258" s="413">
        <f t="shared" ref="G258:AC258" si="110">SUM(G251:G257)</f>
        <v>38241.75082092706</v>
      </c>
      <c r="H258" s="413">
        <f t="shared" si="110"/>
        <v>111918.23208949171</v>
      </c>
      <c r="I258" s="413">
        <f t="shared" si="110"/>
        <v>105361.97422876312</v>
      </c>
      <c r="J258" s="413">
        <f t="shared" si="110"/>
        <v>99249.476869996492</v>
      </c>
      <c r="K258" s="413">
        <f t="shared" si="110"/>
        <v>93441.328532536601</v>
      </c>
      <c r="L258" s="413">
        <f t="shared" si="110"/>
        <v>87947.404958523097</v>
      </c>
      <c r="M258" s="413">
        <f t="shared" si="110"/>
        <v>82750.532931738882</v>
      </c>
      <c r="N258" s="413">
        <f t="shared" si="110"/>
        <v>77018.650221613192</v>
      </c>
      <c r="O258" s="413">
        <f t="shared" si="110"/>
        <v>71695.203257641479</v>
      </c>
      <c r="P258" s="413">
        <f t="shared" si="110"/>
        <v>66842.939496847161</v>
      </c>
      <c r="Q258" s="413">
        <f t="shared" si="110"/>
        <v>62318.469969491925</v>
      </c>
      <c r="R258" s="413">
        <f t="shared" si="110"/>
        <v>58100.323500043145</v>
      </c>
      <c r="S258" s="413">
        <f t="shared" si="110"/>
        <v>54167.174596629498</v>
      </c>
      <c r="T258" s="413">
        <f t="shared" si="110"/>
        <v>50500.337431898239</v>
      </c>
      <c r="U258" s="413">
        <f t="shared" si="110"/>
        <v>47081.284548659816</v>
      </c>
      <c r="V258" s="413">
        <f t="shared" si="110"/>
        <v>43893.754432405505</v>
      </c>
      <c r="W258" s="413">
        <f t="shared" si="110"/>
        <v>40921.650803160221</v>
      </c>
      <c r="X258" s="413">
        <f t="shared" si="110"/>
        <v>37167.210442436066</v>
      </c>
      <c r="Y258" s="413">
        <f t="shared" si="110"/>
        <v>34650.481946053587</v>
      </c>
      <c r="Z258" s="413">
        <f t="shared" si="110"/>
        <v>32315.712154612931</v>
      </c>
      <c r="AA258" s="413">
        <f t="shared" si="110"/>
        <v>30138.304391026279</v>
      </c>
      <c r="AB258" s="413">
        <f t="shared" si="110"/>
        <v>28107.378274484243</v>
      </c>
      <c r="AC258" s="413">
        <f t="shared" si="110"/>
        <v>26213.347957054306</v>
      </c>
    </row>
    <row r="259" spans="3:29" ht="15.75">
      <c r="C259" s="401" t="s">
        <v>182</v>
      </c>
      <c r="D259" s="418">
        <f>NPV(0.07,F218:AC218)/1000</f>
        <v>689.77523434559737</v>
      </c>
    </row>
    <row r="260" spans="3:29" ht="15.75">
      <c r="C260" s="401" t="s">
        <v>183</v>
      </c>
      <c r="D260" s="419">
        <f>IRR(F260:AC260)</f>
        <v>0.10096457885735118</v>
      </c>
      <c r="F260" s="406">
        <f>F249+F258</f>
        <v>-499087.85046728974</v>
      </c>
      <c r="G260" s="406">
        <f t="shared" ref="G260:AC260" si="111">G249+G258</f>
        <v>-78482.537833367169</v>
      </c>
      <c r="H260" s="406">
        <f t="shared" si="111"/>
        <v>105753.88440494964</v>
      </c>
      <c r="I260" s="406">
        <f t="shared" si="111"/>
        <v>99548.045356269213</v>
      </c>
      <c r="J260" s="406">
        <f t="shared" si="111"/>
        <v>93766.500101200174</v>
      </c>
      <c r="K260" s="406">
        <f t="shared" si="111"/>
        <v>88270.884465168085</v>
      </c>
      <c r="L260" s="406">
        <f t="shared" si="111"/>
        <v>83072.067780278448</v>
      </c>
      <c r="M260" s="406">
        <f t="shared" si="111"/>
        <v>78153.819250129105</v>
      </c>
      <c r="N260" s="406">
        <f t="shared" si="111"/>
        <v>72733.740033266222</v>
      </c>
      <c r="O260" s="406">
        <f t="shared" si="111"/>
        <v>67700.973087798906</v>
      </c>
      <c r="P260" s="406">
        <f t="shared" si="111"/>
        <v>63119.695217769404</v>
      </c>
      <c r="Q260" s="406">
        <f t="shared" si="111"/>
        <v>58847.850188389799</v>
      </c>
      <c r="R260" s="406">
        <f t="shared" si="111"/>
        <v>54865.20947045034</v>
      </c>
      <c r="S260" s="406">
        <f t="shared" si="111"/>
        <v>51151.606213166779</v>
      </c>
      <c r="T260" s="406">
        <f t="shared" si="111"/>
        <v>47689.434898037274</v>
      </c>
      <c r="U260" s="406">
        <f t="shared" si="111"/>
        <v>44461.175334754895</v>
      </c>
      <c r="V260" s="406">
        <f t="shared" si="111"/>
        <v>41451.505167058691</v>
      </c>
      <c r="W260" s="406">
        <f t="shared" si="111"/>
        <v>38645.20376504575</v>
      </c>
      <c r="X260" s="406">
        <f t="shared" si="111"/>
        <v>35100.05984642874</v>
      </c>
      <c r="Y260" s="406">
        <f t="shared" si="111"/>
        <v>32723.69464310378</v>
      </c>
      <c r="Z260" s="406">
        <f t="shared" si="111"/>
        <v>30519.769948040073</v>
      </c>
      <c r="AA260" s="406">
        <f t="shared" si="111"/>
        <v>28464.333721870804</v>
      </c>
      <c r="AB260" s="406">
        <f t="shared" si="111"/>
        <v>26547.106612837058</v>
      </c>
      <c r="AC260" s="406">
        <f t="shared" si="111"/>
        <v>24759.063140241047</v>
      </c>
    </row>
    <row r="261" spans="3:29" ht="15.75">
      <c r="C261" s="401" t="s">
        <v>184</v>
      </c>
      <c r="D261" s="420">
        <f>SUM(D251:D257)/SUM(D245:D248)</f>
        <v>1.9992865736404535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Z100"/>
  <sheetViews>
    <sheetView zoomScale="75" zoomScaleNormal="75" workbookViewId="0"/>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2.5703125" customWidth="1"/>
    <col min="9" max="9" width="15.42578125" style="74" customWidth="1"/>
    <col min="10" max="10" width="10.42578125" customWidth="1"/>
    <col min="11" max="12" width="11.5703125" bestFit="1" customWidth="1"/>
    <col min="13" max="26" width="9.85546875" customWidth="1"/>
  </cols>
  <sheetData>
    <row r="1" spans="1:26">
      <c r="G1"/>
      <c r="I1"/>
    </row>
    <row r="2" spans="1:26">
      <c r="A2" s="3" t="s">
        <v>390</v>
      </c>
      <c r="C2" s="75">
        <v>2013</v>
      </c>
      <c r="D2" s="75">
        <v>2014</v>
      </c>
      <c r="E2" s="75">
        <v>2015</v>
      </c>
      <c r="F2" s="75">
        <v>2016</v>
      </c>
      <c r="G2" s="75">
        <v>2017</v>
      </c>
      <c r="H2" s="75">
        <v>2018</v>
      </c>
      <c r="I2" s="75">
        <v>2019</v>
      </c>
      <c r="J2" s="75">
        <v>2020</v>
      </c>
      <c r="K2" s="75">
        <v>2021</v>
      </c>
      <c r="L2" s="75">
        <v>2022</v>
      </c>
      <c r="M2" s="75">
        <v>2023</v>
      </c>
      <c r="N2" s="75">
        <v>2024</v>
      </c>
      <c r="O2" s="75">
        <v>2025</v>
      </c>
      <c r="P2" s="75">
        <v>2026</v>
      </c>
      <c r="Q2" s="75">
        <v>2027</v>
      </c>
      <c r="R2" s="75">
        <v>2028</v>
      </c>
      <c r="S2" s="75">
        <v>2029</v>
      </c>
      <c r="T2" s="75">
        <v>2030</v>
      </c>
      <c r="U2" s="75">
        <v>2031</v>
      </c>
      <c r="V2" s="75">
        <v>2032</v>
      </c>
      <c r="W2" s="75">
        <v>2033</v>
      </c>
      <c r="X2" s="75">
        <v>2034</v>
      </c>
      <c r="Y2" s="75">
        <v>2035</v>
      </c>
      <c r="Z2" s="75">
        <v>2036</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242</v>
      </c>
      <c r="X3" s="72" t="s">
        <v>243</v>
      </c>
      <c r="Y3" s="72" t="s">
        <v>244</v>
      </c>
      <c r="Z3" s="72" t="s">
        <v>245</v>
      </c>
    </row>
    <row r="4" spans="1:26">
      <c r="A4" s="5" t="s">
        <v>351</v>
      </c>
      <c r="B4" s="53"/>
      <c r="G4"/>
      <c r="I4"/>
    </row>
    <row r="5" spans="1:26">
      <c r="A5" s="70" t="s">
        <v>350</v>
      </c>
      <c r="B5" s="70" t="s">
        <v>350</v>
      </c>
      <c r="C5" s="34">
        <v>0</v>
      </c>
      <c r="D5" s="34">
        <f t="shared" ref="D5" si="0">D66</f>
        <v>142212.44944581174</v>
      </c>
      <c r="E5" s="34">
        <f t="shared" ref="E5:Z5" si="1">E66</f>
        <v>143529.29155629606</v>
      </c>
      <c r="F5" s="34">
        <f t="shared" si="1"/>
        <v>144846.13366678034</v>
      </c>
      <c r="G5" s="34">
        <f t="shared" si="1"/>
        <v>146162.97577726463</v>
      </c>
      <c r="H5" s="34">
        <f t="shared" si="1"/>
        <v>147479.81788774897</v>
      </c>
      <c r="I5" s="34">
        <f t="shared" si="1"/>
        <v>148796.65999823326</v>
      </c>
      <c r="J5" s="34">
        <f t="shared" si="1"/>
        <v>150113.50210871754</v>
      </c>
      <c r="K5" s="34">
        <f t="shared" si="1"/>
        <v>149726.20082237764</v>
      </c>
      <c r="L5" s="34">
        <f t="shared" si="1"/>
        <v>149338.89953603764</v>
      </c>
      <c r="M5" s="34">
        <f t="shared" si="1"/>
        <v>148951.59824969768</v>
      </c>
      <c r="N5" s="34">
        <f t="shared" si="1"/>
        <v>148564.29696335777</v>
      </c>
      <c r="O5" s="34">
        <f t="shared" si="1"/>
        <v>148176.99567701778</v>
      </c>
      <c r="P5" s="34">
        <f t="shared" si="1"/>
        <v>147789.69439067785</v>
      </c>
      <c r="Q5" s="34">
        <f t="shared" si="1"/>
        <v>147402.39310433788</v>
      </c>
      <c r="R5" s="34">
        <f t="shared" si="1"/>
        <v>147015.09181799789</v>
      </c>
      <c r="S5" s="34">
        <f t="shared" si="1"/>
        <v>146627.79053165793</v>
      </c>
      <c r="T5" s="34">
        <f t="shared" si="1"/>
        <v>146240.48924531796</v>
      </c>
      <c r="U5" s="34">
        <f t="shared" si="1"/>
        <v>142090.80514653586</v>
      </c>
      <c r="V5" s="34">
        <f t="shared" si="1"/>
        <v>141713.56113755566</v>
      </c>
      <c r="W5" s="34">
        <f t="shared" si="1"/>
        <v>141336.31712857547</v>
      </c>
      <c r="X5" s="34">
        <f t="shared" si="1"/>
        <v>140959.07311959527</v>
      </c>
      <c r="Y5" s="34">
        <f t="shared" si="1"/>
        <v>140581.8291106151</v>
      </c>
      <c r="Z5" s="34">
        <f t="shared" si="1"/>
        <v>140204.58510163488</v>
      </c>
    </row>
    <row r="6" spans="1:26">
      <c r="A6" s="70" t="s">
        <v>408</v>
      </c>
      <c r="B6" s="54" t="s">
        <v>409</v>
      </c>
      <c r="C6">
        <f>C68</f>
        <v>0</v>
      </c>
      <c r="D6" s="34">
        <f t="shared" ref="D6" si="2">D68</f>
        <v>2844.2489889162348</v>
      </c>
      <c r="E6" s="34">
        <f t="shared" ref="E6:Z7" si="3">E68</f>
        <v>2870.5858311259212</v>
      </c>
      <c r="F6" s="34">
        <f t="shared" si="3"/>
        <v>2896.9226733356068</v>
      </c>
      <c r="G6" s="34">
        <f t="shared" si="3"/>
        <v>2923.2595155452927</v>
      </c>
      <c r="H6" s="34">
        <f t="shared" si="3"/>
        <v>2949.5963577549796</v>
      </c>
      <c r="I6" s="34">
        <f t="shared" si="3"/>
        <v>2975.9331999646652</v>
      </c>
      <c r="J6" s="34">
        <f t="shared" si="3"/>
        <v>3002.2700421743507</v>
      </c>
      <c r="K6" s="34">
        <f t="shared" si="3"/>
        <v>2994.5240164475526</v>
      </c>
      <c r="L6" s="34">
        <f t="shared" si="3"/>
        <v>2986.7779907207528</v>
      </c>
      <c r="M6" s="34">
        <f t="shared" si="3"/>
        <v>2979.0319649939538</v>
      </c>
      <c r="N6" s="34">
        <f t="shared" si="3"/>
        <v>2971.2859392671558</v>
      </c>
      <c r="O6" s="34">
        <f t="shared" si="3"/>
        <v>2963.5399135403559</v>
      </c>
      <c r="P6" s="34">
        <f t="shared" si="3"/>
        <v>2955.7938878135569</v>
      </c>
      <c r="Q6" s="34">
        <f t="shared" si="3"/>
        <v>2948.0478620867575</v>
      </c>
      <c r="R6" s="34">
        <f t="shared" si="3"/>
        <v>2940.3018363599581</v>
      </c>
      <c r="S6" s="34">
        <f t="shared" si="3"/>
        <v>2932.5558106331587</v>
      </c>
      <c r="T6" s="34">
        <f t="shared" si="3"/>
        <v>2924.8097849063593</v>
      </c>
      <c r="U6" s="34">
        <f t="shared" si="3"/>
        <v>2841.8161029307171</v>
      </c>
      <c r="V6" s="34">
        <f t="shared" si="3"/>
        <v>2834.2712227511133</v>
      </c>
      <c r="W6" s="34">
        <f t="shared" si="3"/>
        <v>2826.7263425715096</v>
      </c>
      <c r="X6" s="34">
        <f t="shared" si="3"/>
        <v>2819.1814623919054</v>
      </c>
      <c r="Y6" s="34">
        <f t="shared" si="3"/>
        <v>2811.6365822123021</v>
      </c>
      <c r="Z6" s="34">
        <f t="shared" si="3"/>
        <v>2804.0917020326974</v>
      </c>
    </row>
    <row r="7" spans="1:26">
      <c r="A7" s="70"/>
      <c r="B7" s="78" t="s">
        <v>402</v>
      </c>
      <c r="C7">
        <f>C69</f>
        <v>0</v>
      </c>
      <c r="D7" s="34">
        <f t="shared" ref="D7" si="4">D69</f>
        <v>2844.2489889162348</v>
      </c>
      <c r="E7" s="34">
        <f t="shared" si="3"/>
        <v>2870.5858311259212</v>
      </c>
      <c r="F7" s="34">
        <f t="shared" si="3"/>
        <v>2896.9226733356068</v>
      </c>
      <c r="G7" s="34">
        <f t="shared" si="3"/>
        <v>2923.2595155452927</v>
      </c>
      <c r="H7" s="34">
        <f t="shared" si="3"/>
        <v>2949.5963577549796</v>
      </c>
      <c r="I7" s="34">
        <f t="shared" si="3"/>
        <v>2975.9331999646652</v>
      </c>
      <c r="J7" s="34">
        <f t="shared" si="3"/>
        <v>3002.2700421743507</v>
      </c>
      <c r="K7" s="34">
        <f t="shared" si="3"/>
        <v>2994.5240164475526</v>
      </c>
      <c r="L7" s="34">
        <f t="shared" si="3"/>
        <v>2986.7779907207528</v>
      </c>
      <c r="M7" s="34">
        <f t="shared" si="3"/>
        <v>2979.0319649939538</v>
      </c>
      <c r="N7" s="34">
        <f t="shared" si="3"/>
        <v>2971.2859392671558</v>
      </c>
      <c r="O7" s="34">
        <f t="shared" si="3"/>
        <v>2963.5399135403559</v>
      </c>
      <c r="P7" s="34">
        <f t="shared" si="3"/>
        <v>2955.7938878135569</v>
      </c>
      <c r="Q7" s="34">
        <f t="shared" si="3"/>
        <v>2948.0478620867575</v>
      </c>
      <c r="R7" s="34">
        <f t="shared" si="3"/>
        <v>2940.3018363599581</v>
      </c>
      <c r="S7" s="34">
        <f t="shared" si="3"/>
        <v>2932.5558106331587</v>
      </c>
      <c r="T7" s="34">
        <f t="shared" si="3"/>
        <v>2924.8097849063593</v>
      </c>
      <c r="U7" s="34">
        <f t="shared" si="3"/>
        <v>2841.8161029307171</v>
      </c>
      <c r="V7" s="34">
        <f t="shared" si="3"/>
        <v>2834.2712227511133</v>
      </c>
      <c r="W7" s="34">
        <f t="shared" si="3"/>
        <v>2826.7263425715096</v>
      </c>
      <c r="X7" s="34">
        <f t="shared" si="3"/>
        <v>2819.1814623919054</v>
      </c>
      <c r="Y7" s="34">
        <f t="shared" si="3"/>
        <v>2811.6365822123021</v>
      </c>
      <c r="Z7" s="34">
        <f t="shared" si="3"/>
        <v>2804.0917020326974</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261</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350</v>
      </c>
      <c r="B11" s="70" t="s">
        <v>350</v>
      </c>
      <c r="C11" s="189">
        <v>0</v>
      </c>
      <c r="D11" s="34">
        <f t="shared" ref="D11" si="5">D73</f>
        <v>2693.4551277982628</v>
      </c>
      <c r="E11" s="34">
        <f t="shared" ref="E11:Z11" si="6">E73</f>
        <v>2718.3956667511211</v>
      </c>
      <c r="F11" s="34">
        <f t="shared" si="6"/>
        <v>2743.336205703979</v>
      </c>
      <c r="G11" s="34">
        <f t="shared" si="6"/>
        <v>2768.2767446568373</v>
      </c>
      <c r="H11" s="34">
        <f t="shared" si="6"/>
        <v>2793.2172836096952</v>
      </c>
      <c r="I11" s="34">
        <f t="shared" si="6"/>
        <v>2818.1578225625535</v>
      </c>
      <c r="J11" s="34">
        <f t="shared" si="6"/>
        <v>2843.0983615154114</v>
      </c>
      <c r="K11" s="34">
        <f t="shared" si="6"/>
        <v>2835.763007685558</v>
      </c>
      <c r="L11" s="34">
        <f t="shared" si="6"/>
        <v>2828.4276538557042</v>
      </c>
      <c r="M11" s="34">
        <f t="shared" si="6"/>
        <v>2821.0923000258504</v>
      </c>
      <c r="N11" s="34">
        <f t="shared" si="6"/>
        <v>2813.756946195997</v>
      </c>
      <c r="O11" s="34">
        <f t="shared" si="6"/>
        <v>2806.4215923661432</v>
      </c>
      <c r="P11" s="34">
        <f t="shared" si="6"/>
        <v>2799.0862385362898</v>
      </c>
      <c r="Q11" s="34">
        <f t="shared" si="6"/>
        <v>2791.750884706436</v>
      </c>
      <c r="R11" s="34">
        <f t="shared" si="6"/>
        <v>2784.4155308765812</v>
      </c>
      <c r="S11" s="34">
        <f t="shared" si="6"/>
        <v>2777.0801770467274</v>
      </c>
      <c r="T11" s="34">
        <f t="shared" si="6"/>
        <v>2769.7448232168736</v>
      </c>
      <c r="U11" s="34">
        <f t="shared" si="6"/>
        <v>2691.1512263963191</v>
      </c>
      <c r="V11" s="34">
        <f t="shared" si="6"/>
        <v>2684.0063539580869</v>
      </c>
      <c r="W11" s="34">
        <f t="shared" si="6"/>
        <v>2676.8614815198548</v>
      </c>
      <c r="X11" s="34">
        <f t="shared" si="6"/>
        <v>2669.7166090816227</v>
      </c>
      <c r="Y11" s="34">
        <f t="shared" si="6"/>
        <v>2662.5717366433905</v>
      </c>
      <c r="Z11" s="34">
        <f t="shared" si="6"/>
        <v>2655.4268642051579</v>
      </c>
    </row>
    <row r="12" spans="1:26">
      <c r="A12" s="70" t="s">
        <v>399</v>
      </c>
      <c r="B12" s="54" t="s">
        <v>417</v>
      </c>
      <c r="C12">
        <f>C75</f>
        <v>0</v>
      </c>
      <c r="D12" s="34">
        <f t="shared" ref="D12" si="7">D75</f>
        <v>53.869102555965256</v>
      </c>
      <c r="E12" s="34">
        <f t="shared" ref="E12:Z13" si="8">E75</f>
        <v>54.367913335022422</v>
      </c>
      <c r="F12" s="34">
        <f t="shared" si="8"/>
        <v>54.866724114079581</v>
      </c>
      <c r="G12" s="34">
        <f t="shared" si="8"/>
        <v>55.365534893136747</v>
      </c>
      <c r="H12" s="34">
        <f t="shared" si="8"/>
        <v>55.864345672193906</v>
      </c>
      <c r="I12" s="34">
        <f t="shared" si="8"/>
        <v>56.363156451251072</v>
      </c>
      <c r="J12" s="34">
        <f t="shared" si="8"/>
        <v>56.861967230308231</v>
      </c>
      <c r="K12" s="34">
        <f t="shared" si="8"/>
        <v>56.715260153711164</v>
      </c>
      <c r="L12" s="34">
        <f t="shared" si="8"/>
        <v>56.568553077114082</v>
      </c>
      <c r="M12" s="34">
        <f t="shared" si="8"/>
        <v>56.421846000517007</v>
      </c>
      <c r="N12" s="34">
        <f t="shared" si="8"/>
        <v>56.27513892391994</v>
      </c>
      <c r="O12" s="34">
        <f t="shared" si="8"/>
        <v>56.128431847322865</v>
      </c>
      <c r="P12" s="34">
        <f t="shared" si="8"/>
        <v>55.981724770725798</v>
      </c>
      <c r="Q12" s="34">
        <f t="shared" si="8"/>
        <v>55.835017694128723</v>
      </c>
      <c r="R12" s="34">
        <f t="shared" si="8"/>
        <v>55.688310617531627</v>
      </c>
      <c r="S12" s="34">
        <f t="shared" si="8"/>
        <v>55.541603540934545</v>
      </c>
      <c r="T12" s="34">
        <f t="shared" si="8"/>
        <v>55.394896464337471</v>
      </c>
      <c r="U12" s="34">
        <f t="shared" si="8"/>
        <v>53.823024527926385</v>
      </c>
      <c r="V12" s="34">
        <f t="shared" si="8"/>
        <v>53.680127079161743</v>
      </c>
      <c r="W12" s="34">
        <f t="shared" si="8"/>
        <v>53.5372296303971</v>
      </c>
      <c r="X12" s="34">
        <f t="shared" si="8"/>
        <v>53.394332181632457</v>
      </c>
      <c r="Y12" s="34">
        <f t="shared" si="8"/>
        <v>53.251434732867814</v>
      </c>
      <c r="Z12" s="34">
        <f t="shared" si="8"/>
        <v>53.108537284103157</v>
      </c>
    </row>
    <row r="13" spans="1:26">
      <c r="A13" s="70"/>
      <c r="B13" s="78" t="s">
        <v>411</v>
      </c>
      <c r="C13">
        <f>C76</f>
        <v>0</v>
      </c>
      <c r="D13" s="34">
        <f t="shared" ref="D13" si="9">D76</f>
        <v>53.869102555965256</v>
      </c>
      <c r="E13" s="34">
        <f t="shared" si="8"/>
        <v>54.367913335022422</v>
      </c>
      <c r="F13" s="34">
        <f t="shared" si="8"/>
        <v>54.866724114079581</v>
      </c>
      <c r="G13" s="34">
        <f t="shared" si="8"/>
        <v>55.365534893136747</v>
      </c>
      <c r="H13" s="34">
        <f t="shared" si="8"/>
        <v>55.864345672193906</v>
      </c>
      <c r="I13" s="34">
        <f t="shared" si="8"/>
        <v>56.363156451251072</v>
      </c>
      <c r="J13" s="34">
        <f t="shared" si="8"/>
        <v>56.861967230308231</v>
      </c>
      <c r="K13" s="34">
        <f t="shared" si="8"/>
        <v>56.715260153711164</v>
      </c>
      <c r="L13" s="34">
        <f t="shared" si="8"/>
        <v>56.568553077114082</v>
      </c>
      <c r="M13" s="34">
        <f t="shared" si="8"/>
        <v>56.421846000517007</v>
      </c>
      <c r="N13" s="34">
        <f t="shared" si="8"/>
        <v>56.27513892391994</v>
      </c>
      <c r="O13" s="34">
        <f t="shared" si="8"/>
        <v>56.128431847322865</v>
      </c>
      <c r="P13" s="34">
        <f t="shared" si="8"/>
        <v>55.981724770725798</v>
      </c>
      <c r="Q13" s="34">
        <f t="shared" si="8"/>
        <v>55.835017694128723</v>
      </c>
      <c r="R13" s="34">
        <f t="shared" si="8"/>
        <v>55.688310617531627</v>
      </c>
      <c r="S13" s="34">
        <f t="shared" si="8"/>
        <v>55.541603540934545</v>
      </c>
      <c r="T13" s="34">
        <f t="shared" si="8"/>
        <v>55.394896464337471</v>
      </c>
      <c r="U13" s="34">
        <f t="shared" si="8"/>
        <v>53.823024527926385</v>
      </c>
      <c r="V13" s="34">
        <f t="shared" si="8"/>
        <v>53.680127079161743</v>
      </c>
      <c r="W13" s="34">
        <f t="shared" si="8"/>
        <v>53.5372296303971</v>
      </c>
      <c r="X13" s="34">
        <f t="shared" si="8"/>
        <v>53.394332181632457</v>
      </c>
      <c r="Y13" s="34">
        <f t="shared" si="8"/>
        <v>53.251434732867814</v>
      </c>
      <c r="Z13" s="34">
        <f t="shared" si="8"/>
        <v>53.108537284103157</v>
      </c>
    </row>
    <row r="14" spans="1:26">
      <c r="A14" s="70"/>
      <c r="B14" s="48"/>
      <c r="G14"/>
      <c r="I14"/>
    </row>
    <row r="15" spans="1:26">
      <c r="A15" s="70"/>
      <c r="B15" s="53"/>
      <c r="G15"/>
      <c r="I15"/>
    </row>
    <row r="16" spans="1:26">
      <c r="A16" s="5" t="s">
        <v>353</v>
      </c>
      <c r="B16" s="53"/>
      <c r="G16"/>
      <c r="I16"/>
    </row>
    <row r="17" spans="1:26">
      <c r="A17" s="5"/>
      <c r="B17" s="250" t="s">
        <v>584</v>
      </c>
      <c r="C17" s="189">
        <v>0</v>
      </c>
      <c r="E17" s="34">
        <f t="shared" ref="E17:Z17" si="10">SUM(E55:E58)*$B$66</f>
        <v>5565597.2888207994</v>
      </c>
      <c r="F17" s="34">
        <f t="shared" si="10"/>
        <v>5616660.1262419801</v>
      </c>
      <c r="G17" s="34">
        <f t="shared" si="10"/>
        <v>5667722.9636631608</v>
      </c>
      <c r="H17" s="34">
        <f t="shared" si="10"/>
        <v>5718785.8010843433</v>
      </c>
      <c r="I17" s="34">
        <f t="shared" si="10"/>
        <v>5769848.638505524</v>
      </c>
      <c r="J17" s="34">
        <f t="shared" si="10"/>
        <v>5820911.4759267047</v>
      </c>
      <c r="K17" s="34">
        <f t="shared" si="10"/>
        <v>5805893.1966205277</v>
      </c>
      <c r="L17" s="34">
        <f t="shared" si="10"/>
        <v>5790874.9173143478</v>
      </c>
      <c r="M17" s="34">
        <f t="shared" si="10"/>
        <v>5775856.6380081689</v>
      </c>
      <c r="N17" s="34">
        <f t="shared" si="10"/>
        <v>5760838.3587019918</v>
      </c>
      <c r="O17" s="34">
        <f t="shared" si="10"/>
        <v>5745820.0793958111</v>
      </c>
      <c r="P17" s="34">
        <f t="shared" si="10"/>
        <v>5730801.8000896312</v>
      </c>
      <c r="Q17" s="34">
        <f t="shared" si="10"/>
        <v>5715783.5207834532</v>
      </c>
      <c r="R17" s="34">
        <f t="shared" si="10"/>
        <v>5700765.2414772725</v>
      </c>
      <c r="S17" s="34">
        <f t="shared" si="10"/>
        <v>5685746.9621710926</v>
      </c>
      <c r="T17" s="34">
        <f t="shared" si="10"/>
        <v>5670728.6828649137</v>
      </c>
      <c r="U17" s="34">
        <f t="shared" si="10"/>
        <v>5509817.4826547056</v>
      </c>
      <c r="V17" s="34">
        <f t="shared" si="10"/>
        <v>5495189.1917265048</v>
      </c>
      <c r="W17" s="34">
        <f t="shared" si="10"/>
        <v>5480560.900798304</v>
      </c>
      <c r="X17" s="34">
        <f t="shared" si="10"/>
        <v>5465932.6098701032</v>
      </c>
      <c r="Y17" s="34">
        <f t="shared" si="10"/>
        <v>5451304.3189419024</v>
      </c>
      <c r="Z17" s="34">
        <f t="shared" si="10"/>
        <v>5436676.0280137016</v>
      </c>
    </row>
    <row r="18" spans="1:26">
      <c r="A18" s="70" t="s">
        <v>354</v>
      </c>
      <c r="B18" s="70" t="s">
        <v>350</v>
      </c>
      <c r="C18" s="278"/>
      <c r="D18" s="34">
        <f>SUM(D55:D58)*$B$66</f>
        <v>5514534.4513996178</v>
      </c>
      <c r="E18" s="278"/>
      <c r="F18" s="278"/>
      <c r="G18" s="278"/>
      <c r="H18" s="278"/>
      <c r="I18" s="278"/>
      <c r="J18" s="278"/>
      <c r="K18" s="278"/>
      <c r="L18" s="278"/>
      <c r="M18" s="278"/>
      <c r="N18" s="278"/>
      <c r="O18" s="278"/>
      <c r="P18" s="278"/>
      <c r="Q18" s="278"/>
      <c r="R18" s="278"/>
      <c r="S18" s="278"/>
      <c r="T18" s="278"/>
      <c r="U18" s="278"/>
      <c r="V18" s="278"/>
      <c r="W18" s="278"/>
      <c r="X18" s="278"/>
      <c r="Y18" s="278"/>
      <c r="Z18" s="278"/>
    </row>
    <row r="19" spans="1:26">
      <c r="A19" s="70"/>
      <c r="B19" s="70" t="s">
        <v>512</v>
      </c>
      <c r="C19" s="278">
        <f>0.5*C26</f>
        <v>0</v>
      </c>
      <c r="D19" s="278">
        <f>0.5*D26</f>
        <v>-1449.0590457361</v>
      </c>
      <c r="E19" s="278">
        <f>0.5*E26</f>
        <v>-1462.4768722304718</v>
      </c>
      <c r="F19" s="278">
        <f>0.5*F26</f>
        <v>-1475.8946987248432</v>
      </c>
      <c r="G19" s="278">
        <f t="shared" ref="G19:Z19" si="11">0.5*G26</f>
        <v>-1489.3125252192146</v>
      </c>
      <c r="H19" s="278">
        <f t="shared" si="11"/>
        <v>-1502.7303517135867</v>
      </c>
      <c r="I19" s="278">
        <f t="shared" si="11"/>
        <v>-1516.1481782079582</v>
      </c>
      <c r="J19" s="278">
        <f t="shared" si="11"/>
        <v>-1529.5660047023296</v>
      </c>
      <c r="K19" s="278">
        <f t="shared" si="11"/>
        <v>-1525.619638300632</v>
      </c>
      <c r="L19" s="278">
        <f t="shared" si="11"/>
        <v>-1521.6732718989335</v>
      </c>
      <c r="M19" s="278">
        <f t="shared" si="11"/>
        <v>-1517.7269054972353</v>
      </c>
      <c r="N19" s="278">
        <f t="shared" si="11"/>
        <v>-1513.7805390955377</v>
      </c>
      <c r="O19" s="278">
        <f t="shared" si="11"/>
        <v>-1509.8341726938393</v>
      </c>
      <c r="P19" s="278">
        <f t="shared" si="11"/>
        <v>-1505.8878062921412</v>
      </c>
      <c r="Q19" s="278">
        <f t="shared" si="11"/>
        <v>-1501.941439890443</v>
      </c>
      <c r="R19" s="278">
        <f t="shared" si="11"/>
        <v>-1497.9950734887448</v>
      </c>
      <c r="S19" s="278">
        <f t="shared" si="11"/>
        <v>-1494.0487070870465</v>
      </c>
      <c r="T19" s="278">
        <f t="shared" si="11"/>
        <v>-1490.1023406853483</v>
      </c>
      <c r="U19" s="278">
        <f t="shared" si="11"/>
        <v>-1447.8195637293218</v>
      </c>
      <c r="V19" s="278">
        <f t="shared" si="11"/>
        <v>-1443.9756749151375</v>
      </c>
      <c r="W19" s="278">
        <f t="shared" si="11"/>
        <v>-1440.1317861009534</v>
      </c>
      <c r="X19" s="278">
        <f t="shared" si="11"/>
        <v>-1436.2878972867688</v>
      </c>
      <c r="Y19" s="278">
        <f t="shared" si="11"/>
        <v>-1432.444008472585</v>
      </c>
      <c r="Z19" s="278">
        <f t="shared" si="11"/>
        <v>-1428.6001196584002</v>
      </c>
    </row>
    <row r="20" spans="1:26">
      <c r="A20" s="70" t="s">
        <v>355</v>
      </c>
      <c r="B20" s="70" t="s">
        <v>350</v>
      </c>
      <c r="C20" s="278"/>
      <c r="D20" s="278">
        <v>0</v>
      </c>
      <c r="E20" s="278">
        <f>(E17)+E19</f>
        <v>5564134.8119485686</v>
      </c>
      <c r="F20" s="278">
        <f t="shared" ref="F20:Z20" si="12">(F17)+F19</f>
        <v>5615184.231543255</v>
      </c>
      <c r="G20" s="278">
        <f t="shared" si="12"/>
        <v>5666233.6511379415</v>
      </c>
      <c r="H20" s="278">
        <f t="shared" si="12"/>
        <v>5717283.0707326299</v>
      </c>
      <c r="I20" s="278">
        <f t="shared" si="12"/>
        <v>5768332.4903273163</v>
      </c>
      <c r="J20" s="278">
        <f t="shared" si="12"/>
        <v>5819381.9099220028</v>
      </c>
      <c r="K20" s="278">
        <f t="shared" si="12"/>
        <v>5804367.5769822272</v>
      </c>
      <c r="L20" s="278">
        <f t="shared" si="12"/>
        <v>5789353.2440424487</v>
      </c>
      <c r="M20" s="278">
        <f t="shared" si="12"/>
        <v>5774338.9111026721</v>
      </c>
      <c r="N20" s="278">
        <f t="shared" si="12"/>
        <v>5759324.5781628964</v>
      </c>
      <c r="O20" s="278">
        <f t="shared" si="12"/>
        <v>5744310.2452231171</v>
      </c>
      <c r="P20" s="278">
        <f t="shared" si="12"/>
        <v>5729295.9122833395</v>
      </c>
      <c r="Q20" s="278">
        <f t="shared" si="12"/>
        <v>5714281.5793435629</v>
      </c>
      <c r="R20" s="278">
        <f t="shared" si="12"/>
        <v>5699267.2464037836</v>
      </c>
      <c r="S20" s="278">
        <f t="shared" si="12"/>
        <v>5684252.913464006</v>
      </c>
      <c r="T20" s="278">
        <f t="shared" si="12"/>
        <v>5669238.5805242285</v>
      </c>
      <c r="U20" s="278">
        <f t="shared" si="12"/>
        <v>5508369.663090976</v>
      </c>
      <c r="V20" s="278">
        <f t="shared" si="12"/>
        <v>5493745.2160515897</v>
      </c>
      <c r="W20" s="278">
        <f t="shared" si="12"/>
        <v>5479120.7690122034</v>
      </c>
      <c r="X20" s="278">
        <f t="shared" si="12"/>
        <v>5464496.3219728163</v>
      </c>
      <c r="Y20" s="278">
        <f t="shared" si="12"/>
        <v>5449871.87493343</v>
      </c>
      <c r="Z20" s="278">
        <f t="shared" si="12"/>
        <v>5435247.4278940428</v>
      </c>
    </row>
    <row r="21" spans="1:26">
      <c r="G21"/>
      <c r="I21"/>
    </row>
    <row r="22" spans="1:26">
      <c r="A22" s="70"/>
      <c r="G22"/>
      <c r="I22"/>
    </row>
    <row r="23" spans="1:26">
      <c r="A23" s="70"/>
      <c r="B23" s="58" t="s">
        <v>420</v>
      </c>
      <c r="G23"/>
      <c r="I23"/>
    </row>
    <row r="24" spans="1:26">
      <c r="B24" s="78" t="s">
        <v>488</v>
      </c>
      <c r="C24" s="278">
        <f>C6+C7+C12+C13</f>
        <v>0</v>
      </c>
      <c r="D24" s="278">
        <f t="shared" ref="D24:Z24" si="13">D6+D7+D12+D13</f>
        <v>5796.2361829444008</v>
      </c>
      <c r="E24" s="278">
        <f t="shared" si="13"/>
        <v>5849.9074889218873</v>
      </c>
      <c r="F24" s="278">
        <f t="shared" si="13"/>
        <v>5903.578794899372</v>
      </c>
      <c r="G24" s="278">
        <f t="shared" si="13"/>
        <v>5957.2501008768595</v>
      </c>
      <c r="H24" s="278">
        <f t="shared" si="13"/>
        <v>6010.921406854347</v>
      </c>
      <c r="I24" s="278">
        <f t="shared" si="13"/>
        <v>6064.5927128318317</v>
      </c>
      <c r="J24" s="278">
        <f t="shared" si="13"/>
        <v>6118.2640188093183</v>
      </c>
      <c r="K24" s="278">
        <f t="shared" si="13"/>
        <v>6102.4785532025271</v>
      </c>
      <c r="L24" s="278">
        <f t="shared" si="13"/>
        <v>6086.6930875957341</v>
      </c>
      <c r="M24" s="278">
        <f t="shared" si="13"/>
        <v>6070.9076219889412</v>
      </c>
      <c r="N24" s="278">
        <f t="shared" si="13"/>
        <v>6055.1221563821518</v>
      </c>
      <c r="O24" s="278">
        <f t="shared" si="13"/>
        <v>6039.3366907753571</v>
      </c>
      <c r="P24" s="278">
        <f t="shared" si="13"/>
        <v>6023.5512251685659</v>
      </c>
      <c r="Q24" s="278">
        <f t="shared" si="13"/>
        <v>6007.765759561772</v>
      </c>
      <c r="R24" s="278">
        <f t="shared" si="13"/>
        <v>5991.98029395498</v>
      </c>
      <c r="S24" s="278">
        <f t="shared" si="13"/>
        <v>5976.1948283481861</v>
      </c>
      <c r="T24" s="278">
        <f t="shared" si="13"/>
        <v>5960.409362741394</v>
      </c>
      <c r="U24" s="278">
        <f t="shared" si="13"/>
        <v>5791.2782549172871</v>
      </c>
      <c r="V24" s="278">
        <f t="shared" si="13"/>
        <v>5775.9026996605508</v>
      </c>
      <c r="W24" s="278">
        <f t="shared" si="13"/>
        <v>5760.5271444038126</v>
      </c>
      <c r="X24" s="278">
        <f t="shared" si="13"/>
        <v>5745.1515891470754</v>
      </c>
      <c r="Y24" s="278">
        <f t="shared" si="13"/>
        <v>5729.7760338903399</v>
      </c>
      <c r="Z24" s="278">
        <f t="shared" si="13"/>
        <v>5714.4004786336018</v>
      </c>
    </row>
    <row r="25" spans="1:26">
      <c r="B25" s="78" t="s">
        <v>489</v>
      </c>
      <c r="C25" s="394"/>
      <c r="D25" s="278"/>
      <c r="E25" s="278">
        <f>-E24*$A$57</f>
        <v>-1078.5026314045679</v>
      </c>
      <c r="F25" s="278">
        <f t="shared" ref="F25:Z25" si="14">-F24*$A$57</f>
        <v>-1088.3975989467476</v>
      </c>
      <c r="G25" s="278">
        <f t="shared" si="14"/>
        <v>-1098.2925664889281</v>
      </c>
      <c r="H25" s="278">
        <f t="shared" si="14"/>
        <v>-1108.1875340311085</v>
      </c>
      <c r="I25" s="278">
        <f t="shared" si="14"/>
        <v>-1118.0825015732883</v>
      </c>
      <c r="J25" s="278">
        <f t="shared" si="14"/>
        <v>-1127.9774691154685</v>
      </c>
      <c r="K25" s="278">
        <f t="shared" si="14"/>
        <v>-1125.0672237437066</v>
      </c>
      <c r="L25" s="278">
        <f t="shared" si="14"/>
        <v>-1122.1569783719442</v>
      </c>
      <c r="M25" s="278">
        <f t="shared" si="14"/>
        <v>-1119.2467330001818</v>
      </c>
      <c r="N25" s="278">
        <f t="shared" si="14"/>
        <v>-1116.3364876284204</v>
      </c>
      <c r="O25" s="278">
        <f t="shared" si="14"/>
        <v>-1113.4262422566576</v>
      </c>
      <c r="P25" s="278">
        <f t="shared" si="14"/>
        <v>-1110.5159968848957</v>
      </c>
      <c r="Q25" s="278">
        <f t="shared" si="14"/>
        <v>-1107.6057515131333</v>
      </c>
      <c r="R25" s="278">
        <f t="shared" si="14"/>
        <v>-1104.6955061413712</v>
      </c>
      <c r="S25" s="278">
        <f t="shared" si="14"/>
        <v>-1101.7852607696086</v>
      </c>
      <c r="T25" s="278">
        <f t="shared" si="14"/>
        <v>-1098.8750153978465</v>
      </c>
      <c r="U25" s="278">
        <f t="shared" si="14"/>
        <v>-1067.6936086514834</v>
      </c>
      <c r="V25" s="278">
        <f t="shared" si="14"/>
        <v>-1064.8589353109051</v>
      </c>
      <c r="W25" s="278">
        <f t="shared" si="14"/>
        <v>-1062.0242619703263</v>
      </c>
      <c r="X25" s="278">
        <f t="shared" si="14"/>
        <v>-1059.189588629748</v>
      </c>
      <c r="Y25" s="278">
        <f t="shared" si="14"/>
        <v>-1056.3549152891696</v>
      </c>
      <c r="Z25" s="278">
        <f t="shared" si="14"/>
        <v>-1053.5202419485911</v>
      </c>
    </row>
    <row r="26" spans="1:26">
      <c r="B26" s="78" t="s">
        <v>490</v>
      </c>
      <c r="C26" s="278">
        <f>-(C6+C12)</f>
        <v>0</v>
      </c>
      <c r="D26" s="278">
        <f t="shared" ref="D26:Z26" si="15">-(D6+D12)</f>
        <v>-2898.1180914721999</v>
      </c>
      <c r="E26" s="278">
        <f t="shared" si="15"/>
        <v>-2924.9537444609437</v>
      </c>
      <c r="F26" s="278">
        <f t="shared" si="15"/>
        <v>-2951.7893974496865</v>
      </c>
      <c r="G26" s="278">
        <f t="shared" si="15"/>
        <v>-2978.6250504384293</v>
      </c>
      <c r="H26" s="278">
        <f t="shared" si="15"/>
        <v>-3005.4607034271735</v>
      </c>
      <c r="I26" s="278">
        <f t="shared" si="15"/>
        <v>-3032.2963564159163</v>
      </c>
      <c r="J26" s="278">
        <f t="shared" si="15"/>
        <v>-3059.1320094046591</v>
      </c>
      <c r="K26" s="278">
        <f t="shared" si="15"/>
        <v>-3051.239276601264</v>
      </c>
      <c r="L26" s="278">
        <f t="shared" si="15"/>
        <v>-3043.3465437978671</v>
      </c>
      <c r="M26" s="278">
        <f t="shared" si="15"/>
        <v>-3035.4538109944706</v>
      </c>
      <c r="N26" s="278">
        <f t="shared" si="15"/>
        <v>-3027.5610781910755</v>
      </c>
      <c r="O26" s="278">
        <f t="shared" si="15"/>
        <v>-3019.6683453876785</v>
      </c>
      <c r="P26" s="278">
        <f t="shared" si="15"/>
        <v>-3011.7756125842825</v>
      </c>
      <c r="Q26" s="278">
        <f t="shared" si="15"/>
        <v>-3003.882879780886</v>
      </c>
      <c r="R26" s="278">
        <f t="shared" si="15"/>
        <v>-2995.9901469774895</v>
      </c>
      <c r="S26" s="278">
        <f t="shared" si="15"/>
        <v>-2988.097414174093</v>
      </c>
      <c r="T26" s="278">
        <f t="shared" si="15"/>
        <v>-2980.2046813706966</v>
      </c>
      <c r="U26" s="278">
        <f t="shared" si="15"/>
        <v>-2895.6391274586435</v>
      </c>
      <c r="V26" s="278">
        <f t="shared" si="15"/>
        <v>-2887.9513498302749</v>
      </c>
      <c r="W26" s="278">
        <f t="shared" si="15"/>
        <v>-2880.2635722019068</v>
      </c>
      <c r="X26" s="278">
        <f t="shared" si="15"/>
        <v>-2872.5757945735377</v>
      </c>
      <c r="Y26" s="278">
        <f t="shared" si="15"/>
        <v>-2864.88801694517</v>
      </c>
      <c r="Z26" s="278">
        <f t="shared" si="15"/>
        <v>-2857.2002393168004</v>
      </c>
    </row>
    <row r="27" spans="1:26">
      <c r="B27" s="78" t="s">
        <v>491</v>
      </c>
      <c r="C27" s="278">
        <f>-('Mode Operating Assumptions'!$C$27*(C6+C12))</f>
        <v>0</v>
      </c>
      <c r="D27" s="278">
        <f>-('Mode Operating Assumptions'!$C$27*(D6+D12))</f>
        <v>-18837.767594569301</v>
      </c>
      <c r="E27" s="278">
        <f>-('Mode Operating Assumptions'!$C$27*(E6+E12))</f>
        <v>-19012.199338996135</v>
      </c>
      <c r="F27" s="278">
        <f>-('Mode Operating Assumptions'!$C$27*(F6+F12))</f>
        <v>-19186.631083422963</v>
      </c>
      <c r="G27" s="278">
        <f>-('Mode Operating Assumptions'!$C$27*(G6+G12))</f>
        <v>-19361.06282784979</v>
      </c>
      <c r="H27" s="278">
        <f>-('Mode Operating Assumptions'!$C$27*(H6+H12))</f>
        <v>-19535.494572276628</v>
      </c>
      <c r="I27" s="278">
        <f>-('Mode Operating Assumptions'!$C$27*(I6+I12))</f>
        <v>-19709.926316703455</v>
      </c>
      <c r="J27" s="278">
        <f>-('Mode Operating Assumptions'!$C$27*(J6+J12))</f>
        <v>-19884.358061130286</v>
      </c>
      <c r="K27" s="278">
        <f>-('Mode Operating Assumptions'!$C$27*(K6+K12))</f>
        <v>-19833.055297908217</v>
      </c>
      <c r="L27" s="278">
        <f>-('Mode Operating Assumptions'!$C$27*(L6+L12))</f>
        <v>-19781.752534686137</v>
      </c>
      <c r="M27" s="278">
        <f>-('Mode Operating Assumptions'!$C$27*(M6+M12))</f>
        <v>-19730.44977146406</v>
      </c>
      <c r="N27" s="278">
        <f>-('Mode Operating Assumptions'!$C$27*(N6+N12))</f>
        <v>-19679.147008241991</v>
      </c>
      <c r="O27" s="278">
        <f>-('Mode Operating Assumptions'!$C$27*(O6+O12))</f>
        <v>-19627.844245019911</v>
      </c>
      <c r="P27" s="278">
        <f>-('Mode Operating Assumptions'!$C$27*(P6+P12))</f>
        <v>-19576.541481797838</v>
      </c>
      <c r="Q27" s="278">
        <f>-('Mode Operating Assumptions'!$C$27*(Q6+Q12))</f>
        <v>-19525.238718575758</v>
      </c>
      <c r="R27" s="278">
        <f>-('Mode Operating Assumptions'!$C$27*(R6+R12))</f>
        <v>-19473.935955353681</v>
      </c>
      <c r="S27" s="278">
        <f>-('Mode Operating Assumptions'!$C$27*(S6+S12))</f>
        <v>-19422.633192131605</v>
      </c>
      <c r="T27" s="278">
        <f>-('Mode Operating Assumptions'!$C$27*(T6+T12))</f>
        <v>-19371.330428909529</v>
      </c>
      <c r="U27" s="278">
        <f>-('Mode Operating Assumptions'!$C$27*(U6+U12))</f>
        <v>-18821.654328481181</v>
      </c>
      <c r="V27" s="278">
        <f>-('Mode Operating Assumptions'!$C$27*(V6+V12))</f>
        <v>-18771.683773896788</v>
      </c>
      <c r="W27" s="278">
        <f>-('Mode Operating Assumptions'!$C$27*(W6+W12))</f>
        <v>-18721.713219312394</v>
      </c>
      <c r="X27" s="278">
        <f>-('Mode Operating Assumptions'!$C$27*(X6+X12))</f>
        <v>-18671.742664727994</v>
      </c>
      <c r="Y27" s="278">
        <f>-('Mode Operating Assumptions'!$C$27*(Y6+Y12))</f>
        <v>-18621.772110143604</v>
      </c>
      <c r="Z27" s="278">
        <f>-('Mode Operating Assumptions'!$C$27*(Z6+Z12))</f>
        <v>-18571.801555559203</v>
      </c>
    </row>
    <row r="28" spans="1:26">
      <c r="A28" s="70"/>
      <c r="B28" s="54" t="s">
        <v>492</v>
      </c>
      <c r="C28" s="227">
        <f>-(C27*'Mode Operating Assumptions'!$C$8/'Mode Operating Assumptions'!C11)</f>
        <v>0</v>
      </c>
      <c r="D28" s="227">
        <f>-(D27*'Mode Operating Assumptions'!$C$8/'Mode Operating Assumptions'!D11)</f>
        <v>3319.6459544951786</v>
      </c>
      <c r="E28" s="227">
        <f>-(E27*'Mode Operating Assumptions'!$C$8/'Mode Operating Assumptions'!E11)</f>
        <v>3274.8771281748836</v>
      </c>
      <c r="F28" s="227">
        <f>-(F27*'Mode Operating Assumptions'!$C$8/'Mode Operating Assumptions'!F11)</f>
        <v>3232.0817384397419</v>
      </c>
      <c r="G28" s="227">
        <f>-(G27*'Mode Operating Assumptions'!$C$8/'Mode Operating Assumptions'!G11)</f>
        <v>3191.1321138133717</v>
      </c>
      <c r="H28" s="227">
        <f>-(H27*'Mode Operating Assumptions'!$C$8/'Mode Operating Assumptions'!H11)</f>
        <v>3151.9113632800163</v>
      </c>
      <c r="I28" s="227">
        <f>-(I27*'Mode Operating Assumptions'!$C$8/'Mode Operating Assumptions'!I11)</f>
        <v>3114.3122619429546</v>
      </c>
      <c r="J28" s="227">
        <f>-(J27*'Mode Operating Assumptions'!$C$8/'Mode Operating Assumptions'!J11)</f>
        <v>3078.2362721063619</v>
      </c>
      <c r="K28" s="227">
        <f>-(K27*'Mode Operating Assumptions'!$C$8/'Mode Operating Assumptions'!K11)</f>
        <v>3009.3411681838943</v>
      </c>
      <c r="L28" s="227">
        <f>-(L27*'Mode Operating Assumptions'!$C$8/'Mode Operating Assumptions'!L11)</f>
        <v>2999.9673492897055</v>
      </c>
      <c r="M28" s="227">
        <f>-(M27*'Mode Operating Assumptions'!$C$8/'Mode Operating Assumptions'!M11)</f>
        <v>2990.6034528951059</v>
      </c>
      <c r="N28" s="227">
        <f>-(N27*'Mode Operating Assumptions'!$C$8/'Mode Operating Assumptions'!N11)</f>
        <v>2981.2494632534845</v>
      </c>
      <c r="O28" s="227">
        <f>-(O27*'Mode Operating Assumptions'!$C$8/'Mode Operating Assumptions'!O11)</f>
        <v>2971.9053646515308</v>
      </c>
      <c r="P28" s="227">
        <f>-(P27*'Mode Operating Assumptions'!$C$8/'Mode Operating Assumptions'!P11)</f>
        <v>2962.5711414091511</v>
      </c>
      <c r="Q28" s="227">
        <f>-(Q27*'Mode Operating Assumptions'!$C$8/'Mode Operating Assumptions'!Q11)</f>
        <v>2953.2467778793739</v>
      </c>
      <c r="R28" s="227">
        <f>-(R27*'Mode Operating Assumptions'!$C$8/'Mode Operating Assumptions'!R11)</f>
        <v>2943.9322584482679</v>
      </c>
      <c r="S28" s="227">
        <f>-(S27*'Mode Operating Assumptions'!$C$8/'Mode Operating Assumptions'!S11)</f>
        <v>2934.6275675348534</v>
      </c>
      <c r="T28" s="227">
        <f>-(T27*'Mode Operating Assumptions'!$C$8/'Mode Operating Assumptions'!T11)</f>
        <v>2925.3326895910127</v>
      </c>
      <c r="U28" s="227">
        <f>-(U27*'Mode Operating Assumptions'!$C$8/'Mode Operating Assumptions'!U11)</f>
        <v>2840.8261651393336</v>
      </c>
      <c r="V28" s="227">
        <f>-(V27*'Mode Operating Assumptions'!$C$8/'Mode Operating Assumptions'!V11)</f>
        <v>2831.7914596419027</v>
      </c>
      <c r="W28" s="227">
        <f>-(W27*'Mode Operating Assumptions'!$C$8/'Mode Operating Assumptions'!W11)</f>
        <v>2822.7662673311079</v>
      </c>
      <c r="X28" s="227">
        <f>-(X27*'Mode Operating Assumptions'!$C$8/'Mode Operating Assumptions'!X11)</f>
        <v>2813.7505731893407</v>
      </c>
      <c r="Y28" s="227">
        <f>-(Y27*'Mode Operating Assumptions'!$C$8/'Mode Operating Assumptions'!Y11)</f>
        <v>2804.7443622305914</v>
      </c>
      <c r="Z28" s="227">
        <f>-(Z27*'Mode Operating Assumptions'!$C$8/'Mode Operating Assumptions'!Z11)</f>
        <v>2795.7476195003533</v>
      </c>
    </row>
    <row r="29" spans="1:26">
      <c r="A29" s="70"/>
      <c r="B29" s="54"/>
      <c r="C29" s="227"/>
      <c r="D29" s="227"/>
      <c r="E29" s="227"/>
      <c r="F29" s="227"/>
      <c r="G29" s="227"/>
      <c r="H29" s="227"/>
      <c r="I29" s="227"/>
      <c r="J29" s="227"/>
      <c r="K29" s="227"/>
      <c r="L29" s="227"/>
      <c r="M29" s="227"/>
      <c r="N29" s="227"/>
      <c r="O29" s="227"/>
      <c r="P29" s="227"/>
      <c r="Q29" s="227"/>
      <c r="R29" s="227"/>
      <c r="S29" s="227"/>
      <c r="T29" s="227"/>
      <c r="U29" s="227"/>
      <c r="V29" s="227"/>
      <c r="W29" s="227"/>
      <c r="X29" s="227"/>
      <c r="Y29" s="227"/>
      <c r="Z29" s="227"/>
    </row>
    <row r="30" spans="1:26">
      <c r="A30" s="70"/>
      <c r="B30" s="54"/>
      <c r="C30" s="227"/>
      <c r="D30" s="227"/>
      <c r="E30" s="227"/>
      <c r="F30" s="227"/>
      <c r="G30" s="227"/>
      <c r="H30" s="227"/>
      <c r="I30" s="227"/>
      <c r="J30" s="227"/>
      <c r="K30" s="227"/>
      <c r="L30" s="227"/>
      <c r="M30" s="227"/>
      <c r="N30" s="227"/>
      <c r="O30" s="227"/>
      <c r="P30" s="227"/>
      <c r="Q30" s="227"/>
      <c r="R30" s="227"/>
      <c r="S30" s="227"/>
      <c r="T30" s="227"/>
      <c r="U30" s="227"/>
      <c r="V30" s="227"/>
      <c r="W30" s="227"/>
      <c r="X30" s="227"/>
      <c r="Y30" s="227"/>
      <c r="Z30" s="227"/>
    </row>
    <row r="31" spans="1:26">
      <c r="A31" s="70"/>
      <c r="B31" s="54"/>
      <c r="C31" s="227"/>
      <c r="D31" s="227"/>
      <c r="E31" s="227"/>
      <c r="F31" s="227"/>
      <c r="G31" s="227"/>
      <c r="H31" s="227"/>
      <c r="I31" s="227"/>
      <c r="J31" s="227"/>
      <c r="K31" s="227"/>
      <c r="L31" s="227"/>
      <c r="M31" s="227"/>
      <c r="N31" s="227"/>
      <c r="O31" s="227"/>
      <c r="P31" s="227"/>
      <c r="Q31" s="227"/>
      <c r="R31" s="227"/>
      <c r="S31" s="227"/>
      <c r="T31" s="227"/>
      <c r="U31" s="227"/>
      <c r="V31" s="227"/>
      <c r="W31" s="227"/>
      <c r="X31" s="227"/>
      <c r="Y31" s="227"/>
      <c r="Z31" s="227"/>
    </row>
    <row r="32" spans="1:26">
      <c r="A32" s="70"/>
      <c r="B32" s="54"/>
      <c r="C32" s="227"/>
      <c r="D32" s="227"/>
      <c r="E32" s="227"/>
      <c r="F32" s="227"/>
      <c r="G32" s="227"/>
      <c r="H32" s="227"/>
      <c r="I32" s="227"/>
      <c r="J32" s="227"/>
      <c r="K32" s="227"/>
      <c r="L32" s="227"/>
      <c r="M32" s="227"/>
      <c r="N32" s="227"/>
      <c r="O32" s="227"/>
      <c r="P32" s="227"/>
      <c r="Q32" s="227"/>
      <c r="R32" s="227"/>
      <c r="S32" s="227"/>
      <c r="T32" s="227"/>
      <c r="U32" s="227"/>
      <c r="V32" s="227"/>
      <c r="W32" s="227"/>
      <c r="X32" s="227"/>
      <c r="Y32" s="227"/>
      <c r="Z32" s="227"/>
    </row>
    <row r="33" spans="1:26">
      <c r="A33" s="70"/>
      <c r="B33" s="54"/>
      <c r="C33" s="227"/>
      <c r="D33" s="227"/>
      <c r="E33" s="227"/>
      <c r="F33" s="227"/>
      <c r="G33" s="227"/>
      <c r="H33" s="227"/>
      <c r="I33" s="227"/>
      <c r="J33" s="227"/>
      <c r="K33" s="227"/>
      <c r="L33" s="227"/>
      <c r="M33" s="227"/>
      <c r="N33" s="227"/>
      <c r="O33" s="227"/>
      <c r="P33" s="227"/>
      <c r="Q33" s="227"/>
      <c r="R33" s="227"/>
      <c r="S33" s="227"/>
      <c r="T33" s="227"/>
      <c r="U33" s="227"/>
      <c r="V33" s="227"/>
      <c r="W33" s="227"/>
      <c r="X33" s="227"/>
      <c r="Y33" s="227"/>
      <c r="Z33" s="227"/>
    </row>
    <row r="34" spans="1:26">
      <c r="A34" s="70"/>
      <c r="B34" s="54"/>
      <c r="C34" s="227"/>
      <c r="D34" s="227"/>
      <c r="E34" s="227"/>
      <c r="F34" s="227"/>
      <c r="G34" s="227"/>
      <c r="H34" s="227"/>
      <c r="I34" s="227"/>
      <c r="J34" s="227"/>
      <c r="K34" s="227"/>
      <c r="L34" s="227"/>
      <c r="M34" s="227"/>
      <c r="N34" s="227"/>
      <c r="O34" s="227"/>
      <c r="P34" s="227"/>
      <c r="Q34" s="227"/>
      <c r="R34" s="227"/>
      <c r="S34" s="227"/>
      <c r="T34" s="227"/>
      <c r="U34" s="227"/>
      <c r="V34" s="227"/>
      <c r="W34" s="227"/>
      <c r="X34" s="227"/>
      <c r="Y34" s="227"/>
      <c r="Z34" s="227"/>
    </row>
    <row r="35" spans="1:26">
      <c r="G35"/>
      <c r="I35"/>
    </row>
    <row r="36" spans="1:26" s="377" customFormat="1" ht="11.25">
      <c r="A36" s="550" t="s">
        <v>248</v>
      </c>
      <c r="B36" s="552" t="s">
        <v>249</v>
      </c>
      <c r="C36" s="553"/>
      <c r="D36" s="553"/>
      <c r="E36" s="554"/>
      <c r="F36" s="552" t="s">
        <v>250</v>
      </c>
      <c r="G36" s="553"/>
      <c r="H36" s="553"/>
      <c r="I36" s="554"/>
    </row>
    <row r="37" spans="1:26" s="377" customFormat="1" ht="12" thickBot="1">
      <c r="A37" s="551"/>
      <c r="B37" s="144">
        <v>2005</v>
      </c>
      <c r="C37" s="145">
        <v>2010</v>
      </c>
      <c r="D37" s="145">
        <v>2020</v>
      </c>
      <c r="E37" s="146">
        <v>2030</v>
      </c>
      <c r="F37" s="144">
        <v>2005</v>
      </c>
      <c r="G37" s="145">
        <v>2010</v>
      </c>
      <c r="H37" s="145">
        <v>2020</v>
      </c>
      <c r="I37" s="146">
        <v>2030</v>
      </c>
    </row>
    <row r="38" spans="1:26">
      <c r="A38" s="400" t="s">
        <v>571</v>
      </c>
      <c r="B38" s="397">
        <v>9032.5238095238092</v>
      </c>
      <c r="C38" s="398">
        <v>9797.8790921224027</v>
      </c>
      <c r="D38" s="398">
        <v>10711.189789450818</v>
      </c>
      <c r="E38" s="399">
        <v>10412.579420432847</v>
      </c>
      <c r="F38" s="397">
        <v>8983.761904761901</v>
      </c>
      <c r="G38" s="398">
        <v>9763.5815666061408</v>
      </c>
      <c r="H38" s="398">
        <v>10731.269803242145</v>
      </c>
      <c r="I38" s="399">
        <v>10476.652643364812</v>
      </c>
    </row>
    <row r="39" spans="1:26">
      <c r="D39">
        <f>(D38-C38)/10</f>
        <v>91.33106973284157</v>
      </c>
      <c r="E39">
        <f>(E38-D38)/10</f>
        <v>-29.86103690179716</v>
      </c>
      <c r="H39">
        <f>(H38-G38)/10</f>
        <v>96.768823663600415</v>
      </c>
      <c r="I39">
        <f>(I38-H38)/10</f>
        <v>-25.46171598773326</v>
      </c>
    </row>
    <row r="40" spans="1:26">
      <c r="D40" s="125">
        <f>D39/C38</f>
        <v>9.3215142659060484E-3</v>
      </c>
      <c r="E40" s="125">
        <f>E39/D38</f>
        <v>-2.7878356642701396E-3</v>
      </c>
      <c r="F40" s="125"/>
      <c r="G40" s="378"/>
      <c r="H40" s="125">
        <f>H39/G38</f>
        <v>9.9112014380638436E-3</v>
      </c>
      <c r="I40" s="125">
        <f>I39/H38</f>
        <v>-2.3726657193951766E-3</v>
      </c>
    </row>
    <row r="41" spans="1:26">
      <c r="D41" s="125"/>
      <c r="E41" s="125"/>
      <c r="F41" s="125"/>
      <c r="G41" s="378"/>
      <c r="H41" s="125"/>
      <c r="I41" s="125"/>
    </row>
    <row r="42" spans="1:26">
      <c r="C42" s="75">
        <v>2013</v>
      </c>
      <c r="D42" s="75">
        <v>2014</v>
      </c>
      <c r="E42" s="75">
        <v>2015</v>
      </c>
      <c r="F42" s="75">
        <v>2016</v>
      </c>
      <c r="G42" s="75">
        <v>2017</v>
      </c>
      <c r="H42" s="75">
        <v>2018</v>
      </c>
      <c r="I42" s="75">
        <v>2019</v>
      </c>
      <c r="J42" s="75">
        <v>2020</v>
      </c>
      <c r="K42" s="75">
        <v>2021</v>
      </c>
      <c r="L42" s="75">
        <v>2022</v>
      </c>
      <c r="M42" s="75">
        <v>2023</v>
      </c>
      <c r="N42" s="75">
        <v>2024</v>
      </c>
      <c r="O42" s="75">
        <v>2025</v>
      </c>
      <c r="P42" s="75">
        <v>2026</v>
      </c>
      <c r="Q42" s="75">
        <v>2027</v>
      </c>
      <c r="R42" s="75">
        <v>2028</v>
      </c>
      <c r="S42" s="75">
        <v>2029</v>
      </c>
      <c r="T42" s="75">
        <v>2030</v>
      </c>
      <c r="U42" s="75">
        <v>2031</v>
      </c>
      <c r="V42" s="75">
        <v>2032</v>
      </c>
      <c r="W42" s="75">
        <v>2033</v>
      </c>
      <c r="X42" s="75">
        <v>2034</v>
      </c>
      <c r="Y42" s="75">
        <v>2035</v>
      </c>
      <c r="Z42" s="75">
        <v>2036</v>
      </c>
    </row>
    <row r="43" spans="1:26">
      <c r="C43" s="75" t="s">
        <v>18</v>
      </c>
      <c r="D43" s="72" t="s">
        <v>19</v>
      </c>
      <c r="E43" s="72" t="s">
        <v>20</v>
      </c>
      <c r="F43" s="72" t="s">
        <v>21</v>
      </c>
      <c r="G43" s="72" t="s">
        <v>22</v>
      </c>
      <c r="H43" s="72" t="s">
        <v>23</v>
      </c>
      <c r="I43" s="72" t="s">
        <v>24</v>
      </c>
      <c r="J43" s="72" t="s">
        <v>25</v>
      </c>
      <c r="K43" s="72" t="s">
        <v>26</v>
      </c>
      <c r="L43" s="72" t="s">
        <v>27</v>
      </c>
      <c r="M43" s="72" t="s">
        <v>28</v>
      </c>
      <c r="N43" s="72" t="s">
        <v>29</v>
      </c>
      <c r="O43" s="72" t="s">
        <v>30</v>
      </c>
      <c r="P43" s="72" t="s">
        <v>31</v>
      </c>
      <c r="Q43" s="72" t="s">
        <v>32</v>
      </c>
      <c r="R43" s="72" t="s">
        <v>33</v>
      </c>
      <c r="S43" s="72" t="s">
        <v>34</v>
      </c>
      <c r="T43" s="72" t="s">
        <v>35</v>
      </c>
      <c r="U43" s="72" t="s">
        <v>36</v>
      </c>
      <c r="V43" s="72" t="s">
        <v>123</v>
      </c>
      <c r="W43" s="72" t="s">
        <v>242</v>
      </c>
      <c r="X43" s="72" t="s">
        <v>243</v>
      </c>
      <c r="Y43" s="72" t="s">
        <v>244</v>
      </c>
      <c r="Z43" s="72" t="s">
        <v>245</v>
      </c>
    </row>
    <row r="44" spans="1:26">
      <c r="B44" s="26" t="s">
        <v>252</v>
      </c>
      <c r="C44" s="379">
        <f>$C$38*(1+($D$40*(C42-2010)))+$G$38*(1+($H$40*(C42-2010)))</f>
        <v>20125.760338917869</v>
      </c>
      <c r="D44" s="379">
        <f t="shared" ref="D44:I44" si="16">$C$38*(1+($D$40*(D42-2010)))+$G$38*(1+($H$40*(D42-2010)))</f>
        <v>20313.860232314313</v>
      </c>
      <c r="E44" s="379">
        <f t="shared" si="16"/>
        <v>20501.960125710753</v>
      </c>
      <c r="F44" s="379">
        <f t="shared" si="16"/>
        <v>20690.060019107194</v>
      </c>
      <c r="G44" s="379">
        <f t="shared" si="16"/>
        <v>20878.159912503637</v>
      </c>
      <c r="H44" s="379">
        <f t="shared" si="16"/>
        <v>21066.259805900081</v>
      </c>
      <c r="I44" s="379">
        <f t="shared" si="16"/>
        <v>21254.359699296521</v>
      </c>
      <c r="J44" s="147">
        <f>H38+D38</f>
        <v>21442.459592692961</v>
      </c>
      <c r="K44" s="379">
        <f>$D$38*(1+($E$40*(K42-2020)))+$H$38*(1+($I$40*(K42-2020)))</f>
        <v>21387.136839803432</v>
      </c>
      <c r="L44" s="379">
        <f t="shared" ref="L44:S44" si="17">$D$38*(1+($E$40*(L42-2020)))+$H$38*(1+($I$40*(L42-2020)))</f>
        <v>21331.814086913902</v>
      </c>
      <c r="M44" s="379">
        <f t="shared" si="17"/>
        <v>21276.491334024373</v>
      </c>
      <c r="N44" s="379">
        <f t="shared" si="17"/>
        <v>21221.168581134843</v>
      </c>
      <c r="O44" s="379">
        <f t="shared" si="17"/>
        <v>21165.84582824531</v>
      </c>
      <c r="P44" s="379">
        <f t="shared" si="17"/>
        <v>21110.523075355784</v>
      </c>
      <c r="Q44" s="379">
        <f t="shared" si="17"/>
        <v>21055.200322466251</v>
      </c>
      <c r="R44" s="379">
        <f t="shared" si="17"/>
        <v>20999.877569576718</v>
      </c>
      <c r="S44" s="379">
        <f t="shared" si="17"/>
        <v>20944.554816687189</v>
      </c>
      <c r="T44" s="379">
        <f>I38+E38</f>
        <v>20889.232063797659</v>
      </c>
      <c r="U44" s="379">
        <f>$E$38*(1+($E$40*(U42-2020)))+$I$38*(1+($I$40*(U42-2020)))</f>
        <v>20296.484360488903</v>
      </c>
      <c r="V44" s="379">
        <f t="shared" ref="V44:Z44" si="18">$E$38*(1+($E$40*(V42-2020)))+$I$38*(1+($I$40*(V42-2020)))</f>
        <v>20242.598205642651</v>
      </c>
      <c r="W44" s="379">
        <f t="shared" si="18"/>
        <v>20188.712050796403</v>
      </c>
      <c r="X44" s="379">
        <f t="shared" si="18"/>
        <v>20134.825895950155</v>
      </c>
      <c r="Y44" s="379">
        <f t="shared" si="18"/>
        <v>20080.939741103903</v>
      </c>
      <c r="Z44" s="379">
        <f t="shared" si="18"/>
        <v>20027.053586257651</v>
      </c>
    </row>
    <row r="45" spans="1:26">
      <c r="U45" s="506"/>
    </row>
    <row r="47" spans="1:26" s="155" customFormat="1">
      <c r="A47" s="154" t="s">
        <v>274</v>
      </c>
      <c r="B47" s="154" t="s">
        <v>256</v>
      </c>
      <c r="C47" s="154" t="s">
        <v>257</v>
      </c>
      <c r="D47" s="154" t="s">
        <v>258</v>
      </c>
      <c r="E47" s="154" t="s">
        <v>259</v>
      </c>
      <c r="F47" s="154" t="s">
        <v>260</v>
      </c>
      <c r="G47" s="154" t="s">
        <v>261</v>
      </c>
      <c r="H47" s="154" t="s">
        <v>262</v>
      </c>
      <c r="I47" s="154" t="s">
        <v>263</v>
      </c>
      <c r="J47" s="154" t="s">
        <v>264</v>
      </c>
      <c r="K47" s="154" t="s">
        <v>265</v>
      </c>
      <c r="L47" s="154" t="s">
        <v>266</v>
      </c>
      <c r="M47" s="154" t="s">
        <v>267</v>
      </c>
      <c r="N47" s="154" t="s">
        <v>268</v>
      </c>
      <c r="O47" s="154" t="s">
        <v>269</v>
      </c>
      <c r="P47" s="154" t="s">
        <v>270</v>
      </c>
      <c r="Q47" s="154" t="s">
        <v>271</v>
      </c>
      <c r="R47" s="154" t="s">
        <v>272</v>
      </c>
    </row>
    <row r="48" spans="1:26" s="395" customFormat="1">
      <c r="A48" s="381" t="s">
        <v>568</v>
      </c>
      <c r="B48" s="382">
        <v>10420.929370000185</v>
      </c>
      <c r="C48" s="153"/>
      <c r="D48" s="382">
        <v>300.09085000000016</v>
      </c>
      <c r="E48" s="153"/>
      <c r="F48" s="382">
        <v>1311.6085300000018</v>
      </c>
      <c r="G48" s="382">
        <v>18.423090000000002</v>
      </c>
      <c r="H48" s="382">
        <v>21.375</v>
      </c>
      <c r="I48" s="382">
        <v>5648.1189399999785</v>
      </c>
      <c r="J48" s="153"/>
      <c r="K48" s="153"/>
      <c r="L48" s="382">
        <v>1723.4434600000022</v>
      </c>
      <c r="M48" s="153"/>
      <c r="N48" s="382">
        <v>81.688389999999998</v>
      </c>
      <c r="O48" s="382">
        <v>94.720069999999993</v>
      </c>
      <c r="P48" s="382">
        <v>135.56850000000006</v>
      </c>
      <c r="Q48" s="382">
        <v>113.16694</v>
      </c>
      <c r="R48" s="382">
        <v>972.7255999999993</v>
      </c>
    </row>
    <row r="49" spans="1:26">
      <c r="D49" s="125">
        <f>D48/$B48</f>
        <v>2.8796937331127388E-2</v>
      </c>
      <c r="E49" s="125">
        <f>E48/$B48</f>
        <v>0</v>
      </c>
      <c r="F49" s="125">
        <f t="shared" ref="F49:R49" si="19">F48/$B48</f>
        <v>0.12586291331902372</v>
      </c>
      <c r="G49" s="125">
        <f t="shared" si="19"/>
        <v>1.7678931835999646E-3</v>
      </c>
      <c r="H49" s="125">
        <f t="shared" si="19"/>
        <v>2.0511606250335442E-3</v>
      </c>
      <c r="I49" s="125">
        <f t="shared" si="19"/>
        <v>0.54199762223317693</v>
      </c>
      <c r="J49" s="125">
        <f t="shared" si="19"/>
        <v>0</v>
      </c>
      <c r="K49" s="125">
        <f t="shared" si="19"/>
        <v>0</v>
      </c>
      <c r="L49" s="125">
        <f t="shared" si="19"/>
        <v>0.16538289425139552</v>
      </c>
      <c r="M49" s="125">
        <f t="shared" si="19"/>
        <v>0</v>
      </c>
      <c r="N49" s="125">
        <f t="shared" si="19"/>
        <v>7.8388776182635751E-3</v>
      </c>
      <c r="O49" s="125">
        <f t="shared" si="19"/>
        <v>9.0894071571658974E-3</v>
      </c>
      <c r="P49" s="125">
        <f t="shared" si="19"/>
        <v>1.3009252359993459E-2</v>
      </c>
      <c r="Q49" s="125">
        <f t="shared" si="19"/>
        <v>1.085958228694894E-2</v>
      </c>
      <c r="R49" s="125">
        <f t="shared" si="19"/>
        <v>9.3343459634251599E-2</v>
      </c>
    </row>
    <row r="50" spans="1:26" ht="15">
      <c r="B50" s="135" t="s">
        <v>273</v>
      </c>
      <c r="G50"/>
      <c r="I50"/>
    </row>
    <row r="51" spans="1:26">
      <c r="C51" s="75">
        <v>2013</v>
      </c>
      <c r="D51" s="75">
        <v>2014</v>
      </c>
      <c r="E51" s="75">
        <v>2015</v>
      </c>
      <c r="F51" s="75">
        <v>2016</v>
      </c>
      <c r="G51" s="75">
        <v>2017</v>
      </c>
      <c r="H51" s="75">
        <v>2018</v>
      </c>
      <c r="I51" s="75">
        <v>2019</v>
      </c>
      <c r="J51" s="75">
        <v>2020</v>
      </c>
      <c r="K51" s="75">
        <v>2021</v>
      </c>
      <c r="L51" s="75">
        <v>2022</v>
      </c>
      <c r="M51" s="75">
        <v>2023</v>
      </c>
      <c r="N51" s="75">
        <v>2024</v>
      </c>
      <c r="O51" s="75">
        <v>2025</v>
      </c>
      <c r="P51" s="75">
        <v>2026</v>
      </c>
      <c r="Q51" s="75">
        <v>2027</v>
      </c>
      <c r="R51" s="75">
        <v>2028</v>
      </c>
      <c r="S51" s="75">
        <v>2029</v>
      </c>
      <c r="T51" s="75">
        <v>2030</v>
      </c>
      <c r="U51" s="75">
        <v>2031</v>
      </c>
      <c r="V51" s="75">
        <v>2032</v>
      </c>
      <c r="W51" s="75">
        <v>2033</v>
      </c>
      <c r="X51" s="75">
        <v>2034</v>
      </c>
      <c r="Y51" s="75">
        <v>2035</v>
      </c>
      <c r="Z51" s="75">
        <v>2036</v>
      </c>
    </row>
    <row r="52" spans="1:26">
      <c r="C52" s="75" t="s">
        <v>18</v>
      </c>
      <c r="D52" s="72" t="s">
        <v>19</v>
      </c>
      <c r="E52" s="72" t="s">
        <v>20</v>
      </c>
      <c r="F52" s="72" t="s">
        <v>21</v>
      </c>
      <c r="G52" s="72" t="s">
        <v>22</v>
      </c>
      <c r="H52" s="72" t="s">
        <v>23</v>
      </c>
      <c r="I52" s="72" t="s">
        <v>24</v>
      </c>
      <c r="J52" s="72" t="s">
        <v>25</v>
      </c>
      <c r="K52" s="72" t="s">
        <v>26</v>
      </c>
      <c r="L52" s="72" t="s">
        <v>27</v>
      </c>
      <c r="M52" s="72" t="s">
        <v>28</v>
      </c>
      <c r="N52" s="72" t="s">
        <v>29</v>
      </c>
      <c r="O52" s="72" t="s">
        <v>30</v>
      </c>
      <c r="P52" s="72" t="s">
        <v>31</v>
      </c>
      <c r="Q52" s="72" t="s">
        <v>32</v>
      </c>
      <c r="R52" s="72" t="s">
        <v>33</v>
      </c>
      <c r="S52" s="72" t="s">
        <v>34</v>
      </c>
      <c r="T52" s="72" t="s">
        <v>35</v>
      </c>
      <c r="U52" s="72" t="s">
        <v>36</v>
      </c>
      <c r="V52" s="72" t="s">
        <v>123</v>
      </c>
      <c r="W52" s="72" t="s">
        <v>242</v>
      </c>
      <c r="X52" s="72" t="s">
        <v>243</v>
      </c>
      <c r="Y52" s="72" t="s">
        <v>244</v>
      </c>
      <c r="Z52" s="72" t="s">
        <v>245</v>
      </c>
    </row>
    <row r="53" spans="1:26">
      <c r="A53" s="130">
        <f>R49</f>
        <v>9.3343459634251599E-2</v>
      </c>
      <c r="B53" t="s">
        <v>125</v>
      </c>
      <c r="C53" s="34">
        <f>C$59*$A53</f>
        <v>1878.6080978043656</v>
      </c>
      <c r="D53" s="34">
        <f t="shared" ref="D53:S58" si="20">D$59*$A53</f>
        <v>1896.1659926108232</v>
      </c>
      <c r="E53" s="34">
        <f t="shared" si="20"/>
        <v>1913.7238874172806</v>
      </c>
      <c r="F53" s="34">
        <f t="shared" si="20"/>
        <v>1931.2817822237378</v>
      </c>
      <c r="G53" s="34">
        <f t="shared" si="20"/>
        <v>1948.8396770301952</v>
      </c>
      <c r="H53" s="34">
        <f t="shared" si="20"/>
        <v>1966.3975718366528</v>
      </c>
      <c r="I53" s="34">
        <f t="shared" si="20"/>
        <v>1983.9554666431102</v>
      </c>
      <c r="J53" s="34">
        <f t="shared" si="20"/>
        <v>2001.5133614495674</v>
      </c>
      <c r="K53" s="34">
        <f t="shared" si="20"/>
        <v>1996.3493442983684</v>
      </c>
      <c r="L53" s="34">
        <f t="shared" si="20"/>
        <v>1991.1853271471687</v>
      </c>
      <c r="M53" s="34">
        <f t="shared" si="20"/>
        <v>1986.0213099959692</v>
      </c>
      <c r="N53" s="34">
        <f t="shared" si="20"/>
        <v>1980.8572928447702</v>
      </c>
      <c r="O53" s="34">
        <f t="shared" si="20"/>
        <v>1975.6932756935703</v>
      </c>
      <c r="P53" s="34">
        <f t="shared" si="20"/>
        <v>1970.5292585423713</v>
      </c>
      <c r="Q53" s="34">
        <f t="shared" si="20"/>
        <v>1965.3652413911718</v>
      </c>
      <c r="R53" s="34">
        <f t="shared" si="20"/>
        <v>1960.2012242399719</v>
      </c>
      <c r="S53" s="34">
        <f t="shared" si="20"/>
        <v>1955.0372070887724</v>
      </c>
      <c r="T53" s="34">
        <f t="shared" ref="S53:Z58" si="21">T$59*$A53</f>
        <v>1949.873189937573</v>
      </c>
      <c r="U53" s="34">
        <f t="shared" si="21"/>
        <v>1894.5440686204781</v>
      </c>
      <c r="V53" s="34">
        <f t="shared" si="21"/>
        <v>1889.5141485007421</v>
      </c>
      <c r="W53" s="34">
        <f t="shared" si="21"/>
        <v>1884.4842283810062</v>
      </c>
      <c r="X53" s="34">
        <f t="shared" si="21"/>
        <v>1879.4543082612704</v>
      </c>
      <c r="Y53" s="34">
        <f t="shared" si="21"/>
        <v>1874.4243881415346</v>
      </c>
      <c r="Z53" s="34">
        <f t="shared" si="21"/>
        <v>1869.3944680217985</v>
      </c>
    </row>
    <row r="54" spans="1:26">
      <c r="A54" s="130">
        <f>G49</f>
        <v>1.7678931835999646E-3</v>
      </c>
      <c r="B54" t="s">
        <v>222</v>
      </c>
      <c r="C54" s="34">
        <f t="shared" ref="C54:C58" si="22">C$59*$A54</f>
        <v>35.580194517938729</v>
      </c>
      <c r="D54" s="34">
        <f t="shared" si="20"/>
        <v>35.912735037310171</v>
      </c>
      <c r="E54" s="34">
        <f t="shared" si="20"/>
        <v>36.245275556681612</v>
      </c>
      <c r="F54" s="34">
        <f t="shared" si="20"/>
        <v>36.577816076053054</v>
      </c>
      <c r="G54" s="34">
        <f t="shared" si="20"/>
        <v>36.910356595424496</v>
      </c>
      <c r="H54" s="34">
        <f t="shared" si="20"/>
        <v>37.242897114795937</v>
      </c>
      <c r="I54" s="34">
        <f t="shared" si="20"/>
        <v>37.575437634167379</v>
      </c>
      <c r="J54" s="34">
        <f t="shared" si="20"/>
        <v>37.907978153538821</v>
      </c>
      <c r="K54" s="34">
        <f t="shared" si="20"/>
        <v>37.810173435807442</v>
      </c>
      <c r="L54" s="34">
        <f t="shared" si="20"/>
        <v>37.712368718076057</v>
      </c>
      <c r="M54" s="34">
        <f t="shared" si="20"/>
        <v>37.614564000344672</v>
      </c>
      <c r="N54" s="34">
        <f t="shared" si="20"/>
        <v>37.516759282613293</v>
      </c>
      <c r="O54" s="34">
        <f t="shared" si="20"/>
        <v>37.418954564881908</v>
      </c>
      <c r="P54" s="34">
        <f t="shared" si="20"/>
        <v>37.321149847150529</v>
      </c>
      <c r="Q54" s="34">
        <f t="shared" si="20"/>
        <v>37.223345129419144</v>
      </c>
      <c r="R54" s="34">
        <f t="shared" si="20"/>
        <v>37.125540411687751</v>
      </c>
      <c r="S54" s="34">
        <f t="shared" si="21"/>
        <v>37.027735693956366</v>
      </c>
      <c r="T54" s="34">
        <f t="shared" si="21"/>
        <v>36.929930976224981</v>
      </c>
      <c r="U54" s="34">
        <f t="shared" si="21"/>
        <v>35.882016351950924</v>
      </c>
      <c r="V54" s="34">
        <f t="shared" si="21"/>
        <v>35.786751386107824</v>
      </c>
      <c r="W54" s="34">
        <f t="shared" si="21"/>
        <v>35.691486420264731</v>
      </c>
      <c r="X54" s="34">
        <f t="shared" si="21"/>
        <v>35.596221454421638</v>
      </c>
      <c r="Y54" s="34">
        <f t="shared" si="21"/>
        <v>35.500956488578538</v>
      </c>
      <c r="Z54" s="34">
        <f t="shared" si="21"/>
        <v>35.405691522735438</v>
      </c>
    </row>
    <row r="55" spans="1:26">
      <c r="A55" s="130">
        <f>I49</f>
        <v>0.54199762223317693</v>
      </c>
      <c r="B55" s="26" t="s">
        <v>227</v>
      </c>
      <c r="C55" s="34">
        <f t="shared" si="22"/>
        <v>10908.114249328051</v>
      </c>
      <c r="D55" s="34">
        <f t="shared" si="20"/>
        <v>11010.063944291236</v>
      </c>
      <c r="E55" s="34">
        <f t="shared" si="20"/>
        <v>11112.013639254419</v>
      </c>
      <c r="F55" s="34">
        <f t="shared" si="20"/>
        <v>11213.963334217602</v>
      </c>
      <c r="G55" s="34">
        <f t="shared" si="20"/>
        <v>11315.913029180783</v>
      </c>
      <c r="H55" s="34">
        <f t="shared" si="20"/>
        <v>11417.862724143968</v>
      </c>
      <c r="I55" s="34">
        <f t="shared" si="20"/>
        <v>11519.812419107151</v>
      </c>
      <c r="J55" s="34">
        <f t="shared" si="20"/>
        <v>11621.762114070334</v>
      </c>
      <c r="K55" s="34">
        <f t="shared" si="20"/>
        <v>11591.777313548817</v>
      </c>
      <c r="L55" s="34">
        <f t="shared" si="20"/>
        <v>11561.792513027298</v>
      </c>
      <c r="M55" s="34">
        <f t="shared" si="20"/>
        <v>11531.807712505781</v>
      </c>
      <c r="N55" s="34">
        <f t="shared" si="20"/>
        <v>11501.822911984264</v>
      </c>
      <c r="O55" s="34">
        <f t="shared" si="20"/>
        <v>11471.838111462743</v>
      </c>
      <c r="P55" s="34">
        <f t="shared" si="20"/>
        <v>11441.853310941226</v>
      </c>
      <c r="Q55" s="34">
        <f t="shared" si="20"/>
        <v>11411.868510419708</v>
      </c>
      <c r="R55" s="34">
        <f t="shared" si="20"/>
        <v>11381.883709898188</v>
      </c>
      <c r="S55" s="34">
        <f t="shared" si="21"/>
        <v>11351.898909376669</v>
      </c>
      <c r="T55" s="34">
        <f t="shared" si="21"/>
        <v>11321.91410885515</v>
      </c>
      <c r="U55" s="34">
        <f t="shared" si="21"/>
        <v>11000.646263077635</v>
      </c>
      <c r="V55" s="34">
        <f t="shared" si="21"/>
        <v>10971.440095279679</v>
      </c>
      <c r="W55" s="34">
        <f t="shared" si="21"/>
        <v>10942.233927481722</v>
      </c>
      <c r="X55" s="34">
        <f t="shared" si="21"/>
        <v>10913.027759683768</v>
      </c>
      <c r="Y55" s="34">
        <f t="shared" si="21"/>
        <v>10883.821591885811</v>
      </c>
      <c r="Z55" s="34">
        <f t="shared" si="21"/>
        <v>10854.615424087855</v>
      </c>
    </row>
    <row r="56" spans="1:26">
      <c r="A56" s="130">
        <f>F49</f>
        <v>0.12586291331902372</v>
      </c>
      <c r="B56" s="26" t="s">
        <v>228</v>
      </c>
      <c r="C56" s="34">
        <f t="shared" si="22"/>
        <v>2533.0868290166163</v>
      </c>
      <c r="D56" s="34">
        <f t="shared" si="20"/>
        <v>2556.7616295944899</v>
      </c>
      <c r="E56" s="34">
        <f t="shared" si="20"/>
        <v>2580.4364301723631</v>
      </c>
      <c r="F56" s="34">
        <f t="shared" si="20"/>
        <v>2604.1112307502367</v>
      </c>
      <c r="G56" s="34">
        <f t="shared" si="20"/>
        <v>2627.7860313281099</v>
      </c>
      <c r="H56" s="34">
        <f t="shared" si="20"/>
        <v>2651.4608319059835</v>
      </c>
      <c r="I56" s="34">
        <f t="shared" si="20"/>
        <v>2675.1356324838571</v>
      </c>
      <c r="J56" s="34">
        <f t="shared" si="20"/>
        <v>2698.8104330617302</v>
      </c>
      <c r="K56" s="34">
        <f t="shared" si="20"/>
        <v>2691.8473502102261</v>
      </c>
      <c r="L56" s="34">
        <f t="shared" si="20"/>
        <v>2684.8842673587214</v>
      </c>
      <c r="M56" s="34">
        <f t="shared" si="20"/>
        <v>2677.9211845072168</v>
      </c>
      <c r="N56" s="34">
        <f t="shared" si="20"/>
        <v>2670.9581016557127</v>
      </c>
      <c r="O56" s="34">
        <f t="shared" si="20"/>
        <v>2663.9950188042076</v>
      </c>
      <c r="P56" s="34">
        <f t="shared" si="20"/>
        <v>2657.0319359527034</v>
      </c>
      <c r="Q56" s="34">
        <f t="shared" si="20"/>
        <v>2650.0688531011988</v>
      </c>
      <c r="R56" s="34">
        <f t="shared" si="20"/>
        <v>2643.1057702496937</v>
      </c>
      <c r="S56" s="34">
        <f t="shared" si="21"/>
        <v>2636.1426873981891</v>
      </c>
      <c r="T56" s="34">
        <f t="shared" si="21"/>
        <v>2629.1796045466845</v>
      </c>
      <c r="U56" s="34">
        <f t="shared" si="21"/>
        <v>2554.5746517450857</v>
      </c>
      <c r="V56" s="34">
        <f t="shared" si="21"/>
        <v>2547.7923833085765</v>
      </c>
      <c r="W56" s="34">
        <f t="shared" si="21"/>
        <v>2541.0101148720678</v>
      </c>
      <c r="X56" s="34">
        <f t="shared" si="21"/>
        <v>2534.2278464355591</v>
      </c>
      <c r="Y56" s="34">
        <f t="shared" si="21"/>
        <v>2527.4455779990499</v>
      </c>
      <c r="Z56" s="34">
        <f t="shared" si="21"/>
        <v>2520.6633095625407</v>
      </c>
    </row>
    <row r="57" spans="1:26">
      <c r="A57" s="130">
        <f>H49+L49+N49+O49</f>
        <v>0.18436233965185853</v>
      </c>
      <c r="B57" t="s">
        <v>221</v>
      </c>
      <c r="C57" s="34">
        <f t="shared" si="22"/>
        <v>3710.4322633554079</v>
      </c>
      <c r="D57" s="34">
        <f t="shared" si="20"/>
        <v>3745.1107997902409</v>
      </c>
      <c r="E57" s="34">
        <f t="shared" si="20"/>
        <v>3779.7893362250729</v>
      </c>
      <c r="F57" s="34">
        <f t="shared" si="20"/>
        <v>3814.467872659905</v>
      </c>
      <c r="G57" s="34">
        <f t="shared" si="20"/>
        <v>3849.1464090947375</v>
      </c>
      <c r="H57" s="34">
        <f t="shared" si="20"/>
        <v>3883.8249455295704</v>
      </c>
      <c r="I57" s="34">
        <f t="shared" si="20"/>
        <v>3918.5034819644025</v>
      </c>
      <c r="J57" s="34">
        <f t="shared" si="20"/>
        <v>3953.1820183992345</v>
      </c>
      <c r="K57" s="34">
        <f t="shared" si="20"/>
        <v>3942.9825862405401</v>
      </c>
      <c r="L57" s="34">
        <f t="shared" si="20"/>
        <v>3932.7831540818447</v>
      </c>
      <c r="M57" s="34">
        <f t="shared" si="20"/>
        <v>3922.5837219231494</v>
      </c>
      <c r="N57" s="34">
        <f t="shared" si="20"/>
        <v>3912.3842897644549</v>
      </c>
      <c r="O57" s="34">
        <f t="shared" si="20"/>
        <v>3902.1848576057591</v>
      </c>
      <c r="P57" s="34">
        <f t="shared" si="20"/>
        <v>3891.9854254470642</v>
      </c>
      <c r="Q57" s="34">
        <f t="shared" si="20"/>
        <v>3881.7859932883689</v>
      </c>
      <c r="R57" s="34">
        <f t="shared" si="20"/>
        <v>3871.5865611296731</v>
      </c>
      <c r="S57" s="34">
        <f t="shared" si="21"/>
        <v>3861.3871289709778</v>
      </c>
      <c r="T57" s="34">
        <f t="shared" si="21"/>
        <v>3851.1876968122824</v>
      </c>
      <c r="U57" s="34">
        <f t="shared" si="21"/>
        <v>3741.9073434070174</v>
      </c>
      <c r="V57" s="34">
        <f t="shared" si="21"/>
        <v>3731.9727658247198</v>
      </c>
      <c r="W57" s="34">
        <f t="shared" si="21"/>
        <v>3722.0381882424231</v>
      </c>
      <c r="X57" s="34">
        <f t="shared" si="21"/>
        <v>3712.1036106601264</v>
      </c>
      <c r="Y57" s="34">
        <f t="shared" si="21"/>
        <v>3702.1690330778301</v>
      </c>
      <c r="Z57" s="34">
        <f t="shared" si="21"/>
        <v>3692.2344554955325</v>
      </c>
    </row>
    <row r="58" spans="1:26">
      <c r="A58" s="130">
        <f>P49+Q49+D49</f>
        <v>5.2665771978069792E-2</v>
      </c>
      <c r="B58" s="26" t="s">
        <v>226</v>
      </c>
      <c r="C58" s="34">
        <f t="shared" si="22"/>
        <v>1059.9387048947087</v>
      </c>
      <c r="D58" s="34">
        <f t="shared" si="20"/>
        <v>1069.8451309894249</v>
      </c>
      <c r="E58" s="34">
        <f t="shared" si="20"/>
        <v>1079.7515570841408</v>
      </c>
      <c r="F58" s="34">
        <f t="shared" si="20"/>
        <v>1089.6579831788567</v>
      </c>
      <c r="G58" s="34">
        <f t="shared" si="20"/>
        <v>1099.5644092735727</v>
      </c>
      <c r="H58" s="34">
        <f t="shared" si="20"/>
        <v>1109.4708353682888</v>
      </c>
      <c r="I58" s="34">
        <f t="shared" si="20"/>
        <v>1119.3772614630047</v>
      </c>
      <c r="J58" s="34">
        <f t="shared" si="20"/>
        <v>1129.2836875577207</v>
      </c>
      <c r="K58" s="34">
        <f t="shared" si="20"/>
        <v>1126.3700720688419</v>
      </c>
      <c r="L58" s="34">
        <f t="shared" si="20"/>
        <v>1123.4564565799628</v>
      </c>
      <c r="M58" s="34">
        <f t="shared" si="20"/>
        <v>1120.5428410910838</v>
      </c>
      <c r="N58" s="34">
        <f t="shared" si="20"/>
        <v>1117.6292256022048</v>
      </c>
      <c r="O58" s="34">
        <f t="shared" si="20"/>
        <v>1114.7156101133255</v>
      </c>
      <c r="P58" s="34">
        <f t="shared" si="20"/>
        <v>1111.8019946244467</v>
      </c>
      <c r="Q58" s="34">
        <f t="shared" si="20"/>
        <v>1108.8883791355677</v>
      </c>
      <c r="R58" s="34">
        <f t="shared" si="20"/>
        <v>1105.9747636466884</v>
      </c>
      <c r="S58" s="34">
        <f t="shared" si="21"/>
        <v>1103.0611481578094</v>
      </c>
      <c r="T58" s="34">
        <f t="shared" si="21"/>
        <v>1100.1475326689304</v>
      </c>
      <c r="U58" s="34">
        <f t="shared" si="21"/>
        <v>1068.9300172859475</v>
      </c>
      <c r="V58" s="34">
        <f t="shared" si="21"/>
        <v>1066.0920613420399</v>
      </c>
      <c r="W58" s="34">
        <f t="shared" si="21"/>
        <v>1063.2541053981324</v>
      </c>
      <c r="X58" s="34">
        <f t="shared" si="21"/>
        <v>1060.416149454225</v>
      </c>
      <c r="Y58" s="34">
        <f t="shared" si="21"/>
        <v>1057.5781935103175</v>
      </c>
      <c r="Z58" s="34">
        <f t="shared" si="21"/>
        <v>1054.7402375664099</v>
      </c>
    </row>
    <row r="59" spans="1:26">
      <c r="A59" s="130">
        <f>SUM(A53:A58)</f>
        <v>0.99999999999998057</v>
      </c>
      <c r="B59" s="53"/>
      <c r="C59" s="34">
        <f>C$44*$A59</f>
        <v>20125.76033891748</v>
      </c>
      <c r="D59" s="34">
        <f t="shared" ref="D59:Z59" si="23">D$44*$A59</f>
        <v>20313.86023231392</v>
      </c>
      <c r="E59" s="34">
        <f t="shared" si="23"/>
        <v>20501.960125710357</v>
      </c>
      <c r="F59" s="34">
        <f t="shared" si="23"/>
        <v>20690.060019106793</v>
      </c>
      <c r="G59" s="34">
        <f t="shared" si="23"/>
        <v>20878.15991250323</v>
      </c>
      <c r="H59" s="34">
        <f t="shared" si="23"/>
        <v>21066.25980589967</v>
      </c>
      <c r="I59" s="34">
        <f t="shared" si="23"/>
        <v>21254.359699296107</v>
      </c>
      <c r="J59" s="34">
        <f t="shared" si="23"/>
        <v>21442.459592692543</v>
      </c>
      <c r="K59" s="34">
        <f t="shared" si="23"/>
        <v>21387.136839803017</v>
      </c>
      <c r="L59" s="34">
        <f t="shared" si="23"/>
        <v>21331.814086913488</v>
      </c>
      <c r="M59" s="34">
        <f t="shared" si="23"/>
        <v>21276.491334023958</v>
      </c>
      <c r="N59" s="34">
        <f t="shared" si="23"/>
        <v>21221.168581134432</v>
      </c>
      <c r="O59" s="34">
        <f t="shared" si="23"/>
        <v>21165.845828244899</v>
      </c>
      <c r="P59" s="34">
        <f t="shared" si="23"/>
        <v>21110.523075355373</v>
      </c>
      <c r="Q59" s="34">
        <f t="shared" si="23"/>
        <v>21055.200322465844</v>
      </c>
      <c r="R59" s="34">
        <f t="shared" si="23"/>
        <v>20999.877569576311</v>
      </c>
      <c r="S59" s="34">
        <f t="shared" si="23"/>
        <v>20944.554816686781</v>
      </c>
      <c r="T59" s="34">
        <f t="shared" si="23"/>
        <v>20889.232063797252</v>
      </c>
      <c r="U59" s="34">
        <f t="shared" si="23"/>
        <v>20296.48436048851</v>
      </c>
      <c r="V59" s="34">
        <f t="shared" si="23"/>
        <v>20242.598205642258</v>
      </c>
      <c r="W59" s="34">
        <f t="shared" si="23"/>
        <v>20188.71205079601</v>
      </c>
      <c r="X59" s="34">
        <f t="shared" si="23"/>
        <v>20134.825895949762</v>
      </c>
      <c r="Y59" s="34">
        <f t="shared" si="23"/>
        <v>20080.939741103513</v>
      </c>
      <c r="Z59" s="34">
        <f t="shared" si="23"/>
        <v>20027.053586257261</v>
      </c>
    </row>
    <row r="61" spans="1:26">
      <c r="A61" s="26" t="s">
        <v>392</v>
      </c>
      <c r="G61"/>
      <c r="I61"/>
    </row>
    <row r="62" spans="1:26">
      <c r="B62" s="26" t="s">
        <v>566</v>
      </c>
      <c r="G62"/>
      <c r="I62"/>
    </row>
    <row r="63" spans="1:26">
      <c r="B63" s="231">
        <v>0.25</v>
      </c>
      <c r="C63">
        <f>B63*C44</f>
        <v>5031.4400847294673</v>
      </c>
      <c r="G63"/>
      <c r="I63"/>
    </row>
    <row r="64" spans="1:26">
      <c r="A64" s="5" t="s">
        <v>351</v>
      </c>
      <c r="G64"/>
      <c r="I64"/>
    </row>
    <row r="65" spans="1:26">
      <c r="A65" s="26" t="s">
        <v>350</v>
      </c>
      <c r="B65" s="26" t="s">
        <v>395</v>
      </c>
      <c r="G65"/>
      <c r="I65"/>
    </row>
    <row r="66" spans="1:26">
      <c r="B66" s="230">
        <v>300</v>
      </c>
      <c r="C66" s="327">
        <f>$B$63*C53*$B$66</f>
        <v>140895.60733532743</v>
      </c>
      <c r="D66" s="327">
        <f t="shared" ref="D66:Z66" si="24">$B$63*D53*$B$66</f>
        <v>142212.44944581174</v>
      </c>
      <c r="E66" s="327">
        <f t="shared" si="24"/>
        <v>143529.29155629606</v>
      </c>
      <c r="F66" s="327">
        <f t="shared" si="24"/>
        <v>144846.13366678034</v>
      </c>
      <c r="G66" s="327">
        <f t="shared" si="24"/>
        <v>146162.97577726463</v>
      </c>
      <c r="H66" s="327">
        <f t="shared" si="24"/>
        <v>147479.81788774897</v>
      </c>
      <c r="I66" s="327">
        <f t="shared" si="24"/>
        <v>148796.65999823326</v>
      </c>
      <c r="J66" s="327">
        <f t="shared" si="24"/>
        <v>150113.50210871754</v>
      </c>
      <c r="K66" s="327">
        <f t="shared" si="24"/>
        <v>149726.20082237764</v>
      </c>
      <c r="L66" s="327">
        <f t="shared" si="24"/>
        <v>149338.89953603764</v>
      </c>
      <c r="M66" s="327">
        <f t="shared" si="24"/>
        <v>148951.59824969768</v>
      </c>
      <c r="N66" s="327">
        <f t="shared" si="24"/>
        <v>148564.29696335777</v>
      </c>
      <c r="O66" s="327">
        <f t="shared" si="24"/>
        <v>148176.99567701778</v>
      </c>
      <c r="P66" s="327">
        <f t="shared" si="24"/>
        <v>147789.69439067785</v>
      </c>
      <c r="Q66" s="327">
        <f t="shared" si="24"/>
        <v>147402.39310433788</v>
      </c>
      <c r="R66" s="327">
        <f t="shared" si="24"/>
        <v>147015.09181799789</v>
      </c>
      <c r="S66" s="327">
        <f t="shared" si="24"/>
        <v>146627.79053165793</v>
      </c>
      <c r="T66" s="327">
        <f t="shared" si="24"/>
        <v>146240.48924531796</v>
      </c>
      <c r="U66" s="327">
        <f t="shared" si="24"/>
        <v>142090.80514653586</v>
      </c>
      <c r="V66" s="327">
        <f t="shared" si="24"/>
        <v>141713.56113755566</v>
      </c>
      <c r="W66" s="327">
        <f t="shared" si="24"/>
        <v>141336.31712857547</v>
      </c>
      <c r="X66" s="327">
        <f t="shared" si="24"/>
        <v>140959.07311959527</v>
      </c>
      <c r="Y66" s="327">
        <f t="shared" si="24"/>
        <v>140581.8291106151</v>
      </c>
      <c r="Z66" s="327">
        <f t="shared" si="24"/>
        <v>140204.58510163488</v>
      </c>
    </row>
    <row r="67" spans="1:26">
      <c r="A67" s="26" t="s">
        <v>396</v>
      </c>
      <c r="G67"/>
      <c r="I67"/>
    </row>
    <row r="68" spans="1:26">
      <c r="A68" s="229">
        <v>0.02</v>
      </c>
      <c r="B68" s="54" t="s">
        <v>409</v>
      </c>
      <c r="D68" s="189">
        <f>D66*$A$68</f>
        <v>2844.2489889162348</v>
      </c>
      <c r="E68" s="189">
        <f>E66*$A$68</f>
        <v>2870.5858311259212</v>
      </c>
      <c r="F68" s="189">
        <f t="shared" ref="F68:Z68" si="25">F66*$A$68</f>
        <v>2896.9226733356068</v>
      </c>
      <c r="G68" s="189">
        <f t="shared" si="25"/>
        <v>2923.2595155452927</v>
      </c>
      <c r="H68" s="189">
        <f t="shared" si="25"/>
        <v>2949.5963577549796</v>
      </c>
      <c r="I68" s="189">
        <f t="shared" si="25"/>
        <v>2975.9331999646652</v>
      </c>
      <c r="J68" s="189">
        <f t="shared" si="25"/>
        <v>3002.2700421743507</v>
      </c>
      <c r="K68" s="189">
        <f t="shared" si="25"/>
        <v>2994.5240164475526</v>
      </c>
      <c r="L68" s="189">
        <f t="shared" si="25"/>
        <v>2986.7779907207528</v>
      </c>
      <c r="M68" s="189">
        <f t="shared" si="25"/>
        <v>2979.0319649939538</v>
      </c>
      <c r="N68" s="189">
        <f t="shared" si="25"/>
        <v>2971.2859392671558</v>
      </c>
      <c r="O68" s="189">
        <f t="shared" si="25"/>
        <v>2963.5399135403559</v>
      </c>
      <c r="P68" s="189">
        <f t="shared" si="25"/>
        <v>2955.7938878135569</v>
      </c>
      <c r="Q68" s="189">
        <f t="shared" si="25"/>
        <v>2948.0478620867575</v>
      </c>
      <c r="R68" s="189">
        <f t="shared" si="25"/>
        <v>2940.3018363599581</v>
      </c>
      <c r="S68" s="189">
        <f t="shared" si="25"/>
        <v>2932.5558106331587</v>
      </c>
      <c r="T68" s="189">
        <f t="shared" si="25"/>
        <v>2924.8097849063593</v>
      </c>
      <c r="U68" s="189">
        <f t="shared" si="25"/>
        <v>2841.8161029307171</v>
      </c>
      <c r="V68" s="189">
        <f t="shared" si="25"/>
        <v>2834.2712227511133</v>
      </c>
      <c r="W68" s="189">
        <f t="shared" si="25"/>
        <v>2826.7263425715096</v>
      </c>
      <c r="X68" s="189">
        <f t="shared" si="25"/>
        <v>2819.1814623919054</v>
      </c>
      <c r="Y68" s="189">
        <f t="shared" si="25"/>
        <v>2811.6365822123021</v>
      </c>
      <c r="Z68" s="189">
        <f t="shared" si="25"/>
        <v>2804.0917020326974</v>
      </c>
    </row>
    <row r="69" spans="1:26">
      <c r="A69" s="229">
        <v>0.02</v>
      </c>
      <c r="B69" s="78" t="s">
        <v>402</v>
      </c>
      <c r="D69" s="189">
        <f>D66*$A$69</f>
        <v>2844.2489889162348</v>
      </c>
      <c r="E69" s="189">
        <f>E66*$A$69</f>
        <v>2870.5858311259212</v>
      </c>
      <c r="F69" s="189">
        <f t="shared" ref="F69:Z69" si="26">F66*$A$69</f>
        <v>2896.9226733356068</v>
      </c>
      <c r="G69" s="189">
        <f t="shared" si="26"/>
        <v>2923.2595155452927</v>
      </c>
      <c r="H69" s="189">
        <f t="shared" si="26"/>
        <v>2949.5963577549796</v>
      </c>
      <c r="I69" s="189">
        <f t="shared" si="26"/>
        <v>2975.9331999646652</v>
      </c>
      <c r="J69" s="189">
        <f t="shared" si="26"/>
        <v>3002.2700421743507</v>
      </c>
      <c r="K69" s="189">
        <f t="shared" si="26"/>
        <v>2994.5240164475526</v>
      </c>
      <c r="L69" s="189">
        <f t="shared" si="26"/>
        <v>2986.7779907207528</v>
      </c>
      <c r="M69" s="189">
        <f t="shared" si="26"/>
        <v>2979.0319649939538</v>
      </c>
      <c r="N69" s="189">
        <f t="shared" si="26"/>
        <v>2971.2859392671558</v>
      </c>
      <c r="O69" s="189">
        <f t="shared" si="26"/>
        <v>2963.5399135403559</v>
      </c>
      <c r="P69" s="189">
        <f t="shared" si="26"/>
        <v>2955.7938878135569</v>
      </c>
      <c r="Q69" s="189">
        <f t="shared" si="26"/>
        <v>2948.0478620867575</v>
      </c>
      <c r="R69" s="189">
        <f t="shared" si="26"/>
        <v>2940.3018363599581</v>
      </c>
      <c r="S69" s="189">
        <f t="shared" si="26"/>
        <v>2932.5558106331587</v>
      </c>
      <c r="T69" s="189">
        <f t="shared" si="26"/>
        <v>2924.8097849063593</v>
      </c>
      <c r="U69" s="189">
        <f t="shared" si="26"/>
        <v>2841.8161029307171</v>
      </c>
      <c r="V69" s="189">
        <f t="shared" si="26"/>
        <v>2834.2712227511133</v>
      </c>
      <c r="W69" s="189">
        <f t="shared" si="26"/>
        <v>2826.7263425715096</v>
      </c>
      <c r="X69" s="189">
        <f t="shared" si="26"/>
        <v>2819.1814623919054</v>
      </c>
      <c r="Y69" s="189">
        <f t="shared" si="26"/>
        <v>2811.6365822123021</v>
      </c>
      <c r="Z69" s="189">
        <f t="shared" si="26"/>
        <v>2804.0917020326974</v>
      </c>
    </row>
    <row r="70" spans="1:26">
      <c r="A70" s="70"/>
      <c r="B70" s="26"/>
      <c r="G70"/>
      <c r="I70"/>
    </row>
    <row r="71" spans="1:26">
      <c r="A71" s="5" t="s">
        <v>261</v>
      </c>
      <c r="G71"/>
      <c r="I71"/>
    </row>
    <row r="72" spans="1:26">
      <c r="A72" s="70" t="s">
        <v>350</v>
      </c>
      <c r="B72" s="26" t="s">
        <v>395</v>
      </c>
      <c r="C72" s="189"/>
      <c r="D72" s="189"/>
      <c r="E72" s="189"/>
      <c r="F72" s="189"/>
      <c r="G72" s="189"/>
      <c r="H72" s="189"/>
      <c r="I72" s="189"/>
      <c r="J72" s="189"/>
      <c r="K72" s="189"/>
      <c r="L72" s="189"/>
      <c r="M72" s="189"/>
      <c r="N72" s="189"/>
      <c r="O72" s="189"/>
      <c r="P72" s="189"/>
      <c r="Q72" s="189"/>
      <c r="R72" s="189"/>
      <c r="S72" s="189"/>
      <c r="T72" s="189"/>
      <c r="U72" s="189"/>
      <c r="V72" s="189"/>
      <c r="W72" s="189"/>
      <c r="X72" s="189"/>
      <c r="Y72" s="189"/>
      <c r="Z72" s="189"/>
    </row>
    <row r="73" spans="1:26">
      <c r="A73" s="70"/>
      <c r="B73" s="230">
        <v>300</v>
      </c>
      <c r="C73" s="327">
        <f>$B73*$B63*C54</f>
        <v>2668.5145888454049</v>
      </c>
      <c r="D73" s="327">
        <f t="shared" ref="D73:Z73" si="27">$B73*$B63*D54</f>
        <v>2693.4551277982628</v>
      </c>
      <c r="E73" s="327">
        <f t="shared" si="27"/>
        <v>2718.3956667511211</v>
      </c>
      <c r="F73" s="327">
        <f t="shared" si="27"/>
        <v>2743.336205703979</v>
      </c>
      <c r="G73" s="327">
        <f t="shared" si="27"/>
        <v>2768.2767446568373</v>
      </c>
      <c r="H73" s="327">
        <f t="shared" si="27"/>
        <v>2793.2172836096952</v>
      </c>
      <c r="I73" s="327">
        <f t="shared" si="27"/>
        <v>2818.1578225625535</v>
      </c>
      <c r="J73" s="327">
        <f t="shared" si="27"/>
        <v>2843.0983615154114</v>
      </c>
      <c r="K73" s="327">
        <f t="shared" si="27"/>
        <v>2835.763007685558</v>
      </c>
      <c r="L73" s="327">
        <f t="shared" si="27"/>
        <v>2828.4276538557042</v>
      </c>
      <c r="M73" s="327">
        <f t="shared" si="27"/>
        <v>2821.0923000258504</v>
      </c>
      <c r="N73" s="327">
        <f t="shared" si="27"/>
        <v>2813.756946195997</v>
      </c>
      <c r="O73" s="327">
        <f t="shared" si="27"/>
        <v>2806.4215923661432</v>
      </c>
      <c r="P73" s="327">
        <f t="shared" si="27"/>
        <v>2799.0862385362898</v>
      </c>
      <c r="Q73" s="327">
        <f t="shared" si="27"/>
        <v>2791.750884706436</v>
      </c>
      <c r="R73" s="327">
        <f t="shared" si="27"/>
        <v>2784.4155308765812</v>
      </c>
      <c r="S73" s="327">
        <f t="shared" si="27"/>
        <v>2777.0801770467274</v>
      </c>
      <c r="T73" s="327">
        <f t="shared" si="27"/>
        <v>2769.7448232168736</v>
      </c>
      <c r="U73" s="327">
        <f t="shared" si="27"/>
        <v>2691.1512263963191</v>
      </c>
      <c r="V73" s="327">
        <f t="shared" si="27"/>
        <v>2684.0063539580869</v>
      </c>
      <c r="W73" s="327">
        <f t="shared" si="27"/>
        <v>2676.8614815198548</v>
      </c>
      <c r="X73" s="327">
        <f t="shared" si="27"/>
        <v>2669.7166090816227</v>
      </c>
      <c r="Y73" s="327">
        <f t="shared" si="27"/>
        <v>2662.5717366433905</v>
      </c>
      <c r="Z73" s="327">
        <f t="shared" si="27"/>
        <v>2655.4268642051579</v>
      </c>
    </row>
    <row r="74" spans="1:26">
      <c r="A74" s="70"/>
      <c r="B74" s="230"/>
      <c r="C74" s="327"/>
      <c r="D74" s="327"/>
      <c r="E74" s="327"/>
      <c r="F74" s="327"/>
      <c r="G74" s="327"/>
      <c r="H74" s="327"/>
      <c r="I74" s="327"/>
      <c r="J74" s="327"/>
      <c r="K74" s="327"/>
      <c r="L74" s="327"/>
      <c r="M74" s="327"/>
      <c r="N74" s="327"/>
      <c r="O74" s="327"/>
      <c r="P74" s="327"/>
      <c r="Q74" s="327"/>
      <c r="R74" s="327"/>
      <c r="S74" s="327"/>
      <c r="T74" s="327"/>
      <c r="U74" s="327"/>
      <c r="V74" s="327"/>
      <c r="W74" s="327"/>
      <c r="X74" s="327"/>
      <c r="Y74" s="327"/>
      <c r="Z74" s="327"/>
    </row>
    <row r="75" spans="1:26">
      <c r="A75" s="229">
        <v>0.02</v>
      </c>
      <c r="B75" s="54" t="s">
        <v>417</v>
      </c>
      <c r="D75" s="189">
        <f>D73*$A$75</f>
        <v>53.869102555965256</v>
      </c>
      <c r="E75" s="189">
        <f>E73*$A$75</f>
        <v>54.367913335022422</v>
      </c>
      <c r="F75" s="189">
        <f t="shared" ref="F75:Z75" si="28">F73*$A$75</f>
        <v>54.866724114079581</v>
      </c>
      <c r="G75" s="189">
        <f t="shared" si="28"/>
        <v>55.365534893136747</v>
      </c>
      <c r="H75" s="189">
        <f t="shared" si="28"/>
        <v>55.864345672193906</v>
      </c>
      <c r="I75" s="189">
        <f t="shared" si="28"/>
        <v>56.363156451251072</v>
      </c>
      <c r="J75" s="189">
        <f t="shared" si="28"/>
        <v>56.861967230308231</v>
      </c>
      <c r="K75" s="189">
        <f t="shared" si="28"/>
        <v>56.715260153711164</v>
      </c>
      <c r="L75" s="189">
        <f t="shared" si="28"/>
        <v>56.568553077114082</v>
      </c>
      <c r="M75" s="189">
        <f t="shared" si="28"/>
        <v>56.421846000517007</v>
      </c>
      <c r="N75" s="189">
        <f t="shared" si="28"/>
        <v>56.27513892391994</v>
      </c>
      <c r="O75" s="189">
        <f t="shared" si="28"/>
        <v>56.128431847322865</v>
      </c>
      <c r="P75" s="189">
        <f t="shared" si="28"/>
        <v>55.981724770725798</v>
      </c>
      <c r="Q75" s="189">
        <f t="shared" si="28"/>
        <v>55.835017694128723</v>
      </c>
      <c r="R75" s="189">
        <f t="shared" si="28"/>
        <v>55.688310617531627</v>
      </c>
      <c r="S75" s="189">
        <f t="shared" si="28"/>
        <v>55.541603540934545</v>
      </c>
      <c r="T75" s="189">
        <f t="shared" si="28"/>
        <v>55.394896464337471</v>
      </c>
      <c r="U75" s="189">
        <f t="shared" si="28"/>
        <v>53.823024527926385</v>
      </c>
      <c r="V75" s="189">
        <f t="shared" si="28"/>
        <v>53.680127079161743</v>
      </c>
      <c r="W75" s="189">
        <f t="shared" si="28"/>
        <v>53.5372296303971</v>
      </c>
      <c r="X75" s="189">
        <f t="shared" si="28"/>
        <v>53.394332181632457</v>
      </c>
      <c r="Y75" s="189">
        <f t="shared" si="28"/>
        <v>53.251434732867814</v>
      </c>
      <c r="Z75" s="189">
        <f t="shared" si="28"/>
        <v>53.108537284103157</v>
      </c>
    </row>
    <row r="76" spans="1:26">
      <c r="A76" s="229">
        <v>0.02</v>
      </c>
      <c r="B76" s="78" t="s">
        <v>411</v>
      </c>
      <c r="D76" s="189">
        <f>D73*$A$76</f>
        <v>53.869102555965256</v>
      </c>
      <c r="E76" s="189">
        <f>E73*$A$76</f>
        <v>54.367913335022422</v>
      </c>
      <c r="F76" s="189">
        <f t="shared" ref="F76:Z76" si="29">F73*$A$76</f>
        <v>54.866724114079581</v>
      </c>
      <c r="G76" s="189">
        <f t="shared" si="29"/>
        <v>55.365534893136747</v>
      </c>
      <c r="H76" s="189">
        <f t="shared" si="29"/>
        <v>55.864345672193906</v>
      </c>
      <c r="I76" s="189">
        <f t="shared" si="29"/>
        <v>56.363156451251072</v>
      </c>
      <c r="J76" s="189">
        <f t="shared" si="29"/>
        <v>56.861967230308231</v>
      </c>
      <c r="K76" s="189">
        <f t="shared" si="29"/>
        <v>56.715260153711164</v>
      </c>
      <c r="L76" s="189">
        <f t="shared" si="29"/>
        <v>56.568553077114082</v>
      </c>
      <c r="M76" s="189">
        <f t="shared" si="29"/>
        <v>56.421846000517007</v>
      </c>
      <c r="N76" s="189">
        <f t="shared" si="29"/>
        <v>56.27513892391994</v>
      </c>
      <c r="O76" s="189">
        <f t="shared" si="29"/>
        <v>56.128431847322865</v>
      </c>
      <c r="P76" s="189">
        <f t="shared" si="29"/>
        <v>55.981724770725798</v>
      </c>
      <c r="Q76" s="189">
        <f t="shared" si="29"/>
        <v>55.835017694128723</v>
      </c>
      <c r="R76" s="189">
        <f t="shared" si="29"/>
        <v>55.688310617531627</v>
      </c>
      <c r="S76" s="189">
        <f t="shared" si="29"/>
        <v>55.541603540934545</v>
      </c>
      <c r="T76" s="189">
        <f t="shared" si="29"/>
        <v>55.394896464337471</v>
      </c>
      <c r="U76" s="189">
        <f t="shared" si="29"/>
        <v>53.823024527926385</v>
      </c>
      <c r="V76" s="189">
        <f t="shared" si="29"/>
        <v>53.680127079161743</v>
      </c>
      <c r="W76" s="189">
        <f t="shared" si="29"/>
        <v>53.5372296303971</v>
      </c>
      <c r="X76" s="189">
        <f t="shared" si="29"/>
        <v>53.394332181632457</v>
      </c>
      <c r="Y76" s="189">
        <f t="shared" si="29"/>
        <v>53.251434732867814</v>
      </c>
      <c r="Z76" s="189">
        <f t="shared" si="29"/>
        <v>53.108537284103157</v>
      </c>
    </row>
    <row r="88" spans="1:10" ht="15.75">
      <c r="A88" s="555" t="s">
        <v>337</v>
      </c>
      <c r="B88" s="555"/>
      <c r="C88" s="555"/>
      <c r="D88" s="555"/>
      <c r="E88" s="555"/>
      <c r="F88" s="555"/>
    </row>
    <row r="89" spans="1:10" ht="15.75">
      <c r="A89" s="555" t="s">
        <v>338</v>
      </c>
      <c r="B89" s="555"/>
      <c r="C89" s="555"/>
      <c r="D89" s="555"/>
      <c r="E89" s="555"/>
      <c r="F89" s="555"/>
      <c r="G89" s="181" t="s">
        <v>339</v>
      </c>
      <c r="I89" s="181" t="s">
        <v>340</v>
      </c>
    </row>
    <row r="90" spans="1:10">
      <c r="G90" s="181" t="s">
        <v>342</v>
      </c>
      <c r="H90" s="181" t="s">
        <v>341</v>
      </c>
      <c r="J90" s="181" t="s">
        <v>341</v>
      </c>
    </row>
    <row r="91" spans="1:10" s="76" customFormat="1" ht="15">
      <c r="A91" s="186"/>
      <c r="B91" s="188"/>
      <c r="C91" s="188"/>
      <c r="D91" s="188"/>
      <c r="E91" s="188"/>
      <c r="F91" s="188"/>
      <c r="G91" s="188"/>
      <c r="H91" s="190">
        <v>6.2199999999999998E-3</v>
      </c>
      <c r="I91" s="188"/>
      <c r="J91" s="190">
        <v>2.1600000000000001E-2</v>
      </c>
    </row>
    <row r="92" spans="1:10" ht="15">
      <c r="A92" s="173" t="s">
        <v>327</v>
      </c>
      <c r="B92" s="167" t="s">
        <v>328</v>
      </c>
      <c r="C92" s="168" t="s">
        <v>329</v>
      </c>
      <c r="D92" s="169">
        <v>10333</v>
      </c>
      <c r="E92" s="167">
        <v>11625</v>
      </c>
      <c r="F92" s="168">
        <v>14395</v>
      </c>
      <c r="G92" s="74">
        <f>E92-D92</f>
        <v>1292</v>
      </c>
      <c r="H92" s="189">
        <f>D92*((1+H91)^19)</f>
        <v>11624.984689295301</v>
      </c>
      <c r="I92" s="74">
        <f>F92-E92</f>
        <v>2770</v>
      </c>
      <c r="J92" s="189">
        <f>E92*((1+J91)^10)</f>
        <v>14394.673017995265</v>
      </c>
    </row>
    <row r="93" spans="1:10" ht="15">
      <c r="A93" s="182"/>
      <c r="B93" s="183"/>
      <c r="C93" s="184"/>
      <c r="D93" s="185"/>
      <c r="E93" s="183"/>
      <c r="F93" s="184"/>
      <c r="H93" s="190">
        <v>8.7100000000000007E-3</v>
      </c>
      <c r="J93" s="190">
        <v>3.2660000000000002E-2</v>
      </c>
    </row>
    <row r="94" spans="1:10" ht="15.75" thickBot="1">
      <c r="A94" s="175"/>
      <c r="B94" s="176" t="s">
        <v>330</v>
      </c>
      <c r="C94" s="177" t="s">
        <v>331</v>
      </c>
      <c r="D94" s="178">
        <v>5431</v>
      </c>
      <c r="E94" s="176">
        <v>6404</v>
      </c>
      <c r="F94" s="177">
        <v>8831</v>
      </c>
      <c r="G94" s="74">
        <f>E94-D94</f>
        <v>973</v>
      </c>
      <c r="H94" s="189">
        <f>D94*((1+H93)^19)</f>
        <v>6403.8330674172666</v>
      </c>
      <c r="I94" s="74">
        <f>F94-E94</f>
        <v>2427</v>
      </c>
      <c r="J94" s="189">
        <f>E94*((1+J93)^10)</f>
        <v>8831.304780076649</v>
      </c>
    </row>
    <row r="95" spans="1:10" ht="13.5" thickTop="1"/>
    <row r="96" spans="1:10">
      <c r="B96" s="179"/>
    </row>
    <row r="97" spans="1:2">
      <c r="A97" t="s">
        <v>332</v>
      </c>
      <c r="B97" s="179"/>
    </row>
    <row r="98" spans="1:2">
      <c r="A98" t="s">
        <v>333</v>
      </c>
    </row>
    <row r="99" spans="1:2">
      <c r="A99" t="s">
        <v>334</v>
      </c>
    </row>
    <row r="100" spans="1:2">
      <c r="A100" t="s">
        <v>335</v>
      </c>
    </row>
  </sheetData>
  <mergeCells count="5">
    <mergeCell ref="A36:A37"/>
    <mergeCell ref="B36:E36"/>
    <mergeCell ref="F36:I36"/>
    <mergeCell ref="A88:F88"/>
    <mergeCell ref="A89:F89"/>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BA257"/>
  <sheetViews>
    <sheetView topLeftCell="A73" zoomScale="75" zoomScaleNormal="75" workbookViewId="0">
      <selection activeCell="A92" sqref="A92"/>
    </sheetView>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35" customWidth="1"/>
    <col min="33" max="33" width="14.28515625" customWidth="1"/>
    <col min="34" max="34" width="12.140625" bestFit="1" customWidth="1"/>
    <col min="35" max="35" width="11.140625" bestFit="1" customWidth="1"/>
  </cols>
  <sheetData>
    <row r="1" spans="1:33"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3"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334"/>
    </row>
    <row r="3" spans="1:33">
      <c r="A3" s="69"/>
      <c r="B3" s="69"/>
      <c r="D3" s="206"/>
      <c r="E3" s="215"/>
      <c r="AC3" s="261"/>
    </row>
    <row r="4" spans="1:33">
      <c r="A4" s="41"/>
      <c r="B4" s="41"/>
      <c r="C4" s="45"/>
      <c r="D4" s="207"/>
      <c r="E4" s="215"/>
      <c r="AC4" s="261"/>
    </row>
    <row r="5" spans="1:33">
      <c r="A5" s="44" t="s">
        <v>218</v>
      </c>
      <c r="B5" s="44"/>
      <c r="C5" s="55" t="s">
        <v>389</v>
      </c>
      <c r="D5" s="207"/>
      <c r="E5" s="215"/>
      <c r="F5" s="292"/>
      <c r="G5" s="292"/>
      <c r="H5" s="292"/>
      <c r="I5" s="292"/>
      <c r="J5" s="292"/>
      <c r="K5" s="292"/>
      <c r="L5" s="292"/>
      <c r="M5" s="292"/>
      <c r="N5" s="292"/>
      <c r="O5" s="292"/>
      <c r="P5" s="292"/>
      <c r="Q5" s="292"/>
      <c r="R5" s="292"/>
      <c r="S5" s="292"/>
      <c r="T5" s="292"/>
      <c r="U5" s="292"/>
      <c r="V5" s="292"/>
      <c r="W5" s="292"/>
      <c r="X5" s="292"/>
      <c r="Y5" s="292"/>
      <c r="Z5" s="292"/>
      <c r="AA5" s="292"/>
      <c r="AB5" s="292"/>
      <c r="AC5" s="383"/>
      <c r="AD5" s="336"/>
    </row>
    <row r="6" spans="1:33">
      <c r="A6" s="44"/>
      <c r="B6" s="44"/>
      <c r="C6" s="55" t="s">
        <v>388</v>
      </c>
      <c r="D6" s="207"/>
      <c r="E6" s="215"/>
      <c r="F6" s="292">
        <v>-1509600</v>
      </c>
      <c r="G6" s="292">
        <v>-2510400</v>
      </c>
      <c r="I6" s="292"/>
      <c r="K6" s="292"/>
      <c r="L6" s="292"/>
      <c r="M6" s="292"/>
      <c r="N6" s="292"/>
      <c r="O6" s="292"/>
      <c r="P6" s="292"/>
      <c r="Q6" s="292"/>
      <c r="R6" s="292"/>
      <c r="S6" s="292"/>
      <c r="T6" s="292"/>
      <c r="U6" s="292"/>
      <c r="V6" s="292"/>
      <c r="W6" s="292"/>
      <c r="X6" s="292"/>
      <c r="Y6" s="292"/>
      <c r="Z6" s="292"/>
      <c r="AA6" s="292"/>
      <c r="AB6" s="292"/>
      <c r="AC6" s="383"/>
      <c r="AD6" s="336"/>
    </row>
    <row r="7" spans="1:33"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37"/>
    </row>
    <row r="8" spans="1:33" s="53" customFormat="1" ht="12">
      <c r="A8" s="58" t="s">
        <v>219</v>
      </c>
      <c r="B8" s="58"/>
      <c r="D8" s="209"/>
      <c r="E8" s="216"/>
      <c r="H8" s="59"/>
      <c r="I8" s="59"/>
      <c r="J8" s="59"/>
      <c r="K8" s="59"/>
      <c r="L8" s="59"/>
      <c r="M8" s="59"/>
      <c r="N8" s="59"/>
      <c r="O8" s="59"/>
      <c r="P8" s="59"/>
      <c r="Q8" s="59"/>
      <c r="R8" s="59"/>
      <c r="S8" s="59"/>
      <c r="T8" s="59"/>
      <c r="U8" s="59"/>
      <c r="V8" s="59"/>
      <c r="W8" s="59"/>
      <c r="X8" s="59"/>
      <c r="Y8" s="59"/>
      <c r="AC8" s="263"/>
      <c r="AD8" s="338"/>
    </row>
    <row r="9" spans="1:33" s="53" customFormat="1" ht="12">
      <c r="A9" s="58"/>
      <c r="B9" s="5" t="s">
        <v>351</v>
      </c>
      <c r="D9" s="209"/>
      <c r="E9" s="216"/>
      <c r="H9" s="380"/>
      <c r="AC9" s="263"/>
      <c r="AD9" s="338"/>
    </row>
    <row r="10" spans="1:33" s="53" customFormat="1" ht="12">
      <c r="A10" s="58"/>
      <c r="B10" s="70" t="s">
        <v>447</v>
      </c>
      <c r="C10" s="70" t="s">
        <v>350</v>
      </c>
      <c r="D10" s="209"/>
      <c r="E10" s="216"/>
      <c r="F10" s="59">
        <f>'Ro Users'!C5</f>
        <v>0</v>
      </c>
      <c r="G10" s="59">
        <f>'Ro Users'!D5</f>
        <v>649634.19448483386</v>
      </c>
      <c r="H10" s="59">
        <f>'Ro Users'!E5</f>
        <v>1319956.4901140218</v>
      </c>
      <c r="I10" s="59">
        <f>'Ro Users'!F5</f>
        <v>1340644.5912583759</v>
      </c>
      <c r="J10" s="59">
        <f>'Ro Users'!G5</f>
        <v>1361332.6924027305</v>
      </c>
      <c r="K10" s="59">
        <f>'Ro Users'!H5</f>
        <v>1382020.7935470843</v>
      </c>
      <c r="L10" s="59">
        <f>'Ro Users'!I5</f>
        <v>1402708.8946914386</v>
      </c>
      <c r="M10" s="59">
        <f>'Ro Users'!J5</f>
        <v>1423396.9958357927</v>
      </c>
      <c r="N10" s="59">
        <f>'Ro Users'!K5</f>
        <v>1449079.5336336992</v>
      </c>
      <c r="O10" s="59">
        <f>'Ro Users'!L5</f>
        <v>1474762.0714316056</v>
      </c>
      <c r="P10" s="59">
        <f>'Ro Users'!M5</f>
        <v>1500444.6092295123</v>
      </c>
      <c r="Q10" s="59">
        <f>'Ro Users'!N5</f>
        <v>1526127.1470274187</v>
      </c>
      <c r="R10" s="59">
        <f>'Ro Users'!O5</f>
        <v>1551809.6848253254</v>
      </c>
      <c r="S10" s="59">
        <f>'Ro Users'!P5</f>
        <v>1577492.2226232318</v>
      </c>
      <c r="T10" s="59">
        <f>'Ro Users'!Q5</f>
        <v>1603174.7604211385</v>
      </c>
      <c r="U10" s="59">
        <f>'Ro Users'!R5</f>
        <v>1628857.2982190449</v>
      </c>
      <c r="V10" s="59">
        <f>'Ro Users'!S5</f>
        <v>1654539.8360169514</v>
      </c>
      <c r="W10" s="59">
        <f>'Ro Users'!T5</f>
        <v>1680222.3738148578</v>
      </c>
      <c r="X10" s="59">
        <f>'Ro Users'!U5</f>
        <v>1710538.8532912135</v>
      </c>
      <c r="Y10" s="59">
        <f>'Ro Users'!V5</f>
        <v>1740855.3327675697</v>
      </c>
      <c r="Z10" s="59">
        <f>'Ro Users'!W5</f>
        <v>1771171.8122439256</v>
      </c>
      <c r="AA10" s="59">
        <f>'Ro Users'!X5</f>
        <v>1801488.2917202811</v>
      </c>
      <c r="AB10" s="59">
        <f>'Ro Users'!Y5</f>
        <v>1831804.7711966371</v>
      </c>
      <c r="AC10" s="264">
        <f>'Ro Users'!Z5</f>
        <v>1862121.2506729935</v>
      </c>
      <c r="AD10" s="339">
        <f t="shared" ref="AD10:AD55" si="0">SUM(F10:AC10)</f>
        <v>35244184.501469687</v>
      </c>
    </row>
    <row r="11" spans="1:33" s="53" customFormat="1" ht="12">
      <c r="A11" s="58"/>
      <c r="B11" s="70" t="s">
        <v>446</v>
      </c>
      <c r="C11" s="54" t="s">
        <v>415</v>
      </c>
      <c r="D11" s="209"/>
      <c r="E11" s="216"/>
      <c r="F11" s="59">
        <f>'Ro Users'!C6</f>
        <v>0</v>
      </c>
      <c r="G11" s="59">
        <f>'Ro Users'!D6</f>
        <v>6496.3419448483392</v>
      </c>
      <c r="H11" s="59">
        <f>'Ro Users'!E6</f>
        <v>13199.564901140218</v>
      </c>
      <c r="I11" s="59">
        <f>'Ro Users'!F6</f>
        <v>13406.44591258376</v>
      </c>
      <c r="J11" s="59">
        <f>'Ro Users'!G6</f>
        <v>13613.326924027306</v>
      </c>
      <c r="K11" s="59">
        <f>'Ro Users'!H6</f>
        <v>13820.207935470844</v>
      </c>
      <c r="L11" s="59">
        <f>'Ro Users'!I6</f>
        <v>14027.088946914388</v>
      </c>
      <c r="M11" s="59">
        <f>'Ro Users'!J6</f>
        <v>14233.969958357928</v>
      </c>
      <c r="N11" s="59">
        <f>'Ro Users'!K6</f>
        <v>14490.795336336992</v>
      </c>
      <c r="O11" s="59">
        <f>'Ro Users'!L6</f>
        <v>14747.620714316057</v>
      </c>
      <c r="P11" s="59">
        <f>'Ro Users'!M6</f>
        <v>15004.446092295124</v>
      </c>
      <c r="Q11" s="59">
        <f>'Ro Users'!N6</f>
        <v>15261.271470274187</v>
      </c>
      <c r="R11" s="59">
        <f>'Ro Users'!O6</f>
        <v>15518.096848253253</v>
      </c>
      <c r="S11" s="59">
        <f>'Ro Users'!P6</f>
        <v>15774.922226232318</v>
      </c>
      <c r="T11" s="59">
        <f>'Ro Users'!Q6</f>
        <v>16031.747604211385</v>
      </c>
      <c r="U11" s="59">
        <f>'Ro Users'!R6</f>
        <v>16288.57298219045</v>
      </c>
      <c r="V11" s="59">
        <f>'Ro Users'!S6</f>
        <v>16545.398360169514</v>
      </c>
      <c r="W11" s="59">
        <f>'Ro Users'!T6</f>
        <v>16802.223738148579</v>
      </c>
      <c r="X11" s="59">
        <f>'Ro Users'!U6</f>
        <v>17105.388532912137</v>
      </c>
      <c r="Y11" s="59">
        <f>'Ro Users'!V6</f>
        <v>17408.553327675698</v>
      </c>
      <c r="Z11" s="59">
        <f>'Ro Users'!W6</f>
        <v>17711.718122439255</v>
      </c>
      <c r="AA11" s="59">
        <f>'Ro Users'!X6</f>
        <v>18014.882917202813</v>
      </c>
      <c r="AB11" s="59">
        <f>'Ro Users'!Y6</f>
        <v>18318.04771196637</v>
      </c>
      <c r="AC11" s="264">
        <f>'Ro Users'!Z6</f>
        <v>18621.212506729935</v>
      </c>
      <c r="AD11" s="339">
        <f t="shared" si="0"/>
        <v>352441.84501469688</v>
      </c>
    </row>
    <row r="12" spans="1:33" s="53" customFormat="1" ht="12">
      <c r="A12" s="58"/>
      <c r="B12" s="70"/>
      <c r="C12" s="78" t="s">
        <v>402</v>
      </c>
      <c r="D12" s="209"/>
      <c r="E12" s="216"/>
      <c r="F12" s="59">
        <f>'Ro Users'!C7</f>
        <v>0</v>
      </c>
      <c r="G12" s="59">
        <f>'Ro Users'!D7</f>
        <v>12992.683889696678</v>
      </c>
      <c r="H12" s="59">
        <f>'Ro Users'!E7</f>
        <v>26399.129802280437</v>
      </c>
      <c r="I12" s="59">
        <f>'Ro Users'!F7</f>
        <v>26812.89182516752</v>
      </c>
      <c r="J12" s="59">
        <f>'Ro Users'!G7</f>
        <v>27226.653848054611</v>
      </c>
      <c r="K12" s="59">
        <f>'Ro Users'!H7</f>
        <v>27640.415870941688</v>
      </c>
      <c r="L12" s="59">
        <f>'Ro Users'!I7</f>
        <v>28054.177893828775</v>
      </c>
      <c r="M12" s="59">
        <f>'Ro Users'!J7</f>
        <v>28467.939916715855</v>
      </c>
      <c r="N12" s="59">
        <f>'Ro Users'!K7</f>
        <v>28981.590672673985</v>
      </c>
      <c r="O12" s="59">
        <f>'Ro Users'!L7</f>
        <v>29495.241428632115</v>
      </c>
      <c r="P12" s="59">
        <f>'Ro Users'!M7</f>
        <v>30008.892184590248</v>
      </c>
      <c r="Q12" s="59">
        <f>'Ro Users'!N7</f>
        <v>30522.542940548374</v>
      </c>
      <c r="R12" s="59">
        <f>'Ro Users'!O7</f>
        <v>31036.193696506507</v>
      </c>
      <c r="S12" s="59">
        <f>'Ro Users'!P7</f>
        <v>31549.844452464637</v>
      </c>
      <c r="T12" s="59">
        <f>'Ro Users'!Q7</f>
        <v>32063.49520842277</v>
      </c>
      <c r="U12" s="59">
        <f>'Ro Users'!R7</f>
        <v>32577.145964380899</v>
      </c>
      <c r="V12" s="59">
        <f>'Ro Users'!S7</f>
        <v>33090.796720339029</v>
      </c>
      <c r="W12" s="59">
        <f>'Ro Users'!T7</f>
        <v>33604.447476297159</v>
      </c>
      <c r="X12" s="59">
        <f>'Ro Users'!U7</f>
        <v>34210.777065824273</v>
      </c>
      <c r="Y12" s="59">
        <f>'Ro Users'!V7</f>
        <v>34817.106655351396</v>
      </c>
      <c r="Z12" s="59">
        <f>'Ro Users'!W7</f>
        <v>35423.43624487851</v>
      </c>
      <c r="AA12" s="59">
        <f>'Ro Users'!X7</f>
        <v>36029.765834405625</v>
      </c>
      <c r="AB12" s="59">
        <f>'Ro Users'!Y7</f>
        <v>36636.09542393274</v>
      </c>
      <c r="AC12" s="264">
        <f>'Ro Users'!Z7</f>
        <v>37242.42501345987</v>
      </c>
      <c r="AD12" s="339">
        <f t="shared" si="0"/>
        <v>704883.69002939377</v>
      </c>
    </row>
    <row r="13" spans="1:33" s="53" customFormat="1" ht="12">
      <c r="A13" s="58"/>
      <c r="B13" s="70"/>
      <c r="D13" s="209"/>
      <c r="E13" s="216"/>
      <c r="AC13" s="263"/>
      <c r="AD13" s="339"/>
    </row>
    <row r="14" spans="1:33" s="53" customFormat="1" ht="12">
      <c r="A14" s="58"/>
      <c r="B14" s="5" t="s">
        <v>261</v>
      </c>
      <c r="D14" s="209"/>
      <c r="E14" s="216"/>
      <c r="AC14" s="263"/>
      <c r="AD14" s="339"/>
    </row>
    <row r="15" spans="1:33" s="53" customFormat="1" ht="12">
      <c r="A15" s="58"/>
      <c r="B15" s="70" t="s">
        <v>447</v>
      </c>
      <c r="C15" s="70" t="s">
        <v>350</v>
      </c>
      <c r="D15" s="209"/>
      <c r="E15" s="216"/>
      <c r="F15" s="59">
        <f>'Ro Users'!C10</f>
        <v>0</v>
      </c>
      <c r="G15" s="59">
        <f>'Ro Users'!D10</f>
        <v>351256.1724946106</v>
      </c>
      <c r="H15" s="59">
        <f>'Ro Users'!E10</f>
        <v>713698.36827100057</v>
      </c>
      <c r="I15" s="59">
        <f>'Ro Users'!F10</f>
        <v>724884.39155277971</v>
      </c>
      <c r="J15" s="59">
        <f>'Ro Users'!G10</f>
        <v>736070.41483455896</v>
      </c>
      <c r="K15" s="59">
        <f>'Ro Users'!H10</f>
        <v>747256.43811633799</v>
      </c>
      <c r="L15" s="59">
        <f>'Ro Users'!I10</f>
        <v>758442.46139811736</v>
      </c>
      <c r="M15" s="59">
        <f>'Ro Users'!J10</f>
        <v>769628.4846798965</v>
      </c>
      <c r="N15" s="59">
        <f>'Ro Users'!K10</f>
        <v>783514.99189184315</v>
      </c>
      <c r="O15" s="59">
        <f>'Ro Users'!L10</f>
        <v>797401.4991037898</v>
      </c>
      <c r="P15" s="59">
        <f>'Ro Users'!M10</f>
        <v>811288.00631573657</v>
      </c>
      <c r="Q15" s="59">
        <f>'Ro Users'!N10</f>
        <v>825174.51352768322</v>
      </c>
      <c r="R15" s="59">
        <f>'Ro Users'!O10</f>
        <v>839061.02073962986</v>
      </c>
      <c r="S15" s="59">
        <f>'Ro Users'!P10</f>
        <v>852947.52795157651</v>
      </c>
      <c r="T15" s="59">
        <f>'Ro Users'!Q10</f>
        <v>866834.03516352316</v>
      </c>
      <c r="U15" s="59">
        <f>'Ro Users'!R10</f>
        <v>880720.54237546993</v>
      </c>
      <c r="V15" s="59">
        <f>'Ro Users'!S10</f>
        <v>894607.04958741646</v>
      </c>
      <c r="W15" s="59">
        <f>'Ro Users'!T10</f>
        <v>908493.55679936323</v>
      </c>
      <c r="X15" s="59">
        <f>'Ro Users'!U10</f>
        <v>924885.62888359325</v>
      </c>
      <c r="Y15" s="59">
        <f>'Ro Users'!V10</f>
        <v>941277.70096782339</v>
      </c>
      <c r="Z15" s="59">
        <f>'Ro Users'!W10</f>
        <v>957669.77305205353</v>
      </c>
      <c r="AA15" s="59">
        <f>'Ro Users'!X10</f>
        <v>974061.84513628355</v>
      </c>
      <c r="AB15" s="59">
        <f>'Ro Users'!Y10</f>
        <v>990453.91722051392</v>
      </c>
      <c r="AC15" s="264">
        <f>'Ro Users'!Z10</f>
        <v>1006845.9893047442</v>
      </c>
      <c r="AD15" s="339">
        <f t="shared" si="0"/>
        <v>19056474.329368349</v>
      </c>
      <c r="AG15" s="367"/>
    </row>
    <row r="16" spans="1:33" s="53" customFormat="1" ht="12">
      <c r="A16" s="58"/>
      <c r="B16" s="70" t="s">
        <v>446</v>
      </c>
      <c r="C16" s="54" t="s">
        <v>417</v>
      </c>
      <c r="D16" s="209"/>
      <c r="E16" s="216"/>
      <c r="F16" s="59">
        <f>'Ro Users'!C11</f>
        <v>0</v>
      </c>
      <c r="G16" s="59">
        <f>'Ro Users'!D11</f>
        <v>8781.4043123652646</v>
      </c>
      <c r="H16" s="59">
        <f>'Ro Users'!E11</f>
        <v>17842.459206775016</v>
      </c>
      <c r="I16" s="59">
        <f>'Ro Users'!F11</f>
        <v>18122.109788819493</v>
      </c>
      <c r="J16" s="59">
        <f>'Ro Users'!G11</f>
        <v>18401.760370863976</v>
      </c>
      <c r="K16" s="59">
        <f>'Ro Users'!H11</f>
        <v>18681.410952908449</v>
      </c>
      <c r="L16" s="59">
        <f>'Ro Users'!I11</f>
        <v>18961.061534952936</v>
      </c>
      <c r="M16" s="59">
        <f>'Ro Users'!J11</f>
        <v>19240.712116997413</v>
      </c>
      <c r="N16" s="59">
        <f>'Ro Users'!K11</f>
        <v>19587.874797296081</v>
      </c>
      <c r="O16" s="59">
        <f>'Ro Users'!L11</f>
        <v>19935.037477594746</v>
      </c>
      <c r="P16" s="59">
        <f>'Ro Users'!M11</f>
        <v>20282.200157893414</v>
      </c>
      <c r="Q16" s="59">
        <f>'Ro Users'!N11</f>
        <v>20629.362838192083</v>
      </c>
      <c r="R16" s="59">
        <f>'Ro Users'!O11</f>
        <v>20976.525518490747</v>
      </c>
      <c r="S16" s="59">
        <f>'Ro Users'!P11</f>
        <v>21323.688198789416</v>
      </c>
      <c r="T16" s="59">
        <f>'Ro Users'!Q11</f>
        <v>21670.850879088081</v>
      </c>
      <c r="U16" s="59">
        <f>'Ro Users'!R11</f>
        <v>22018.013559386749</v>
      </c>
      <c r="V16" s="59">
        <f>'Ro Users'!S11</f>
        <v>22365.176239685414</v>
      </c>
      <c r="W16" s="59">
        <f>'Ro Users'!T11</f>
        <v>22712.338919984082</v>
      </c>
      <c r="X16" s="59">
        <f>'Ro Users'!U11</f>
        <v>23122.140722089833</v>
      </c>
      <c r="Y16" s="59">
        <f>'Ro Users'!V11</f>
        <v>23531.942524195587</v>
      </c>
      <c r="Z16" s="59">
        <f>'Ro Users'!W11</f>
        <v>23941.744326301341</v>
      </c>
      <c r="AA16" s="59">
        <f>'Ro Users'!X11</f>
        <v>24351.546128407092</v>
      </c>
      <c r="AB16" s="59">
        <f>'Ro Users'!Y11</f>
        <v>24761.347930512849</v>
      </c>
      <c r="AC16" s="264">
        <f>'Ro Users'!Z11</f>
        <v>25171.149732618607</v>
      </c>
      <c r="AD16" s="339">
        <f t="shared" si="0"/>
        <v>476411.85823420866</v>
      </c>
      <c r="AG16" s="367"/>
    </row>
    <row r="17" spans="1:33" s="53" customFormat="1" ht="12">
      <c r="A17" s="58"/>
      <c r="B17" s="70"/>
      <c r="C17" s="78" t="s">
        <v>411</v>
      </c>
      <c r="D17" s="209"/>
      <c r="E17" s="216"/>
      <c r="F17" s="59">
        <f>'Ro Users'!C12</f>
        <v>0</v>
      </c>
      <c r="G17" s="59">
        <f>'Ro Users'!D12</f>
        <v>8781.4043123652646</v>
      </c>
      <c r="H17" s="59">
        <f>'Ro Users'!E12</f>
        <v>17842.459206775016</v>
      </c>
      <c r="I17" s="59">
        <f>'Ro Users'!F12</f>
        <v>18122.109788819493</v>
      </c>
      <c r="J17" s="59">
        <f>'Ro Users'!G12</f>
        <v>18401.760370863976</v>
      </c>
      <c r="K17" s="59">
        <f>'Ro Users'!H12</f>
        <v>18681.410952908449</v>
      </c>
      <c r="L17" s="59">
        <f>'Ro Users'!I12</f>
        <v>18961.061534952936</v>
      </c>
      <c r="M17" s="59">
        <f>'Ro Users'!J12</f>
        <v>19240.712116997413</v>
      </c>
      <c r="N17" s="59">
        <f>'Ro Users'!K12</f>
        <v>19587.874797296081</v>
      </c>
      <c r="O17" s="59">
        <f>'Ro Users'!L12</f>
        <v>19935.037477594746</v>
      </c>
      <c r="P17" s="59">
        <f>'Ro Users'!M12</f>
        <v>20282.200157893414</v>
      </c>
      <c r="Q17" s="59">
        <f>'Ro Users'!N12</f>
        <v>20629.362838192083</v>
      </c>
      <c r="R17" s="59">
        <f>'Ro Users'!O12</f>
        <v>20976.525518490747</v>
      </c>
      <c r="S17" s="59">
        <f>'Ro Users'!P12</f>
        <v>21323.688198789416</v>
      </c>
      <c r="T17" s="59">
        <f>'Ro Users'!Q12</f>
        <v>21670.850879088081</v>
      </c>
      <c r="U17" s="59">
        <f>'Ro Users'!R12</f>
        <v>22018.013559386749</v>
      </c>
      <c r="V17" s="59">
        <f>'Ro Users'!S12</f>
        <v>22365.176239685414</v>
      </c>
      <c r="W17" s="59">
        <f>'Ro Users'!T12</f>
        <v>22712.338919984082</v>
      </c>
      <c r="X17" s="59">
        <f>'Ro Users'!U12</f>
        <v>23122.140722089833</v>
      </c>
      <c r="Y17" s="59">
        <f>'Ro Users'!V12</f>
        <v>23531.942524195587</v>
      </c>
      <c r="Z17" s="59">
        <f>'Ro Users'!W12</f>
        <v>23941.744326301341</v>
      </c>
      <c r="AA17" s="59">
        <f>'Ro Users'!X12</f>
        <v>24351.546128407092</v>
      </c>
      <c r="AB17" s="59">
        <f>'Ro Users'!Y12</f>
        <v>24761.347930512849</v>
      </c>
      <c r="AC17" s="264">
        <f>'Ro Users'!Z12</f>
        <v>25171.149732618607</v>
      </c>
      <c r="AD17" s="339">
        <f t="shared" si="0"/>
        <v>476411.85823420866</v>
      </c>
      <c r="AG17" s="70"/>
    </row>
    <row r="18" spans="1:33" s="53" customFormat="1" ht="12">
      <c r="A18" s="58"/>
      <c r="B18" s="70"/>
      <c r="C18" s="48"/>
      <c r="D18" s="209"/>
      <c r="E18" s="216"/>
      <c r="AC18" s="263"/>
      <c r="AD18" s="339"/>
      <c r="AG18" s="368"/>
    </row>
    <row r="19" spans="1:33" s="53" customFormat="1" ht="12">
      <c r="A19" s="58"/>
      <c r="B19" s="70"/>
      <c r="C19" s="58" t="s">
        <v>420</v>
      </c>
      <c r="D19" s="209"/>
      <c r="E19" s="216"/>
      <c r="AC19" s="263"/>
      <c r="AD19" s="338"/>
      <c r="AG19" s="288"/>
    </row>
    <row r="20" spans="1:33" s="53" customFormat="1" ht="12">
      <c r="A20" s="58"/>
      <c r="B20" s="70"/>
      <c r="C20" s="78" t="s">
        <v>488</v>
      </c>
      <c r="D20" s="209"/>
      <c r="E20" s="216"/>
      <c r="F20" s="279">
        <f>'Ro Users'!C25</f>
        <v>0</v>
      </c>
      <c r="G20" s="279">
        <f>'Ro Users'!D25</f>
        <v>37051.834459275546</v>
      </c>
      <c r="H20" s="279">
        <f>'Ro Users'!E25</f>
        <v>75283.613116970693</v>
      </c>
      <c r="I20" s="279">
        <f>'Ro Users'!F25</f>
        <v>76463.557315390266</v>
      </c>
      <c r="J20" s="279">
        <f>'Ro Users'!G25</f>
        <v>77643.501513809868</v>
      </c>
      <c r="K20" s="279">
        <f>'Ro Users'!H25</f>
        <v>78823.445712229441</v>
      </c>
      <c r="L20" s="279">
        <f>'Ro Users'!I25</f>
        <v>80003.389910649043</v>
      </c>
      <c r="M20" s="279">
        <f>'Ro Users'!J25</f>
        <v>81183.334109068615</v>
      </c>
      <c r="N20" s="279">
        <f>'Ro Users'!K25</f>
        <v>82648.13560360315</v>
      </c>
      <c r="O20" s="279">
        <f>'Ro Users'!L25</f>
        <v>84112.937098137656</v>
      </c>
      <c r="P20" s="279">
        <f>'Ro Users'!M25</f>
        <v>85577.738592672191</v>
      </c>
      <c r="Q20" s="279">
        <f>'Ro Users'!N25</f>
        <v>87042.540087206726</v>
      </c>
      <c r="R20" s="279">
        <f>'Ro Users'!O25</f>
        <v>88507.341581741246</v>
      </c>
      <c r="S20" s="279">
        <f>'Ro Users'!P25</f>
        <v>89972.143076275781</v>
      </c>
      <c r="T20" s="279">
        <f>'Ro Users'!Q25</f>
        <v>91436.944570810301</v>
      </c>
      <c r="U20" s="279">
        <f>'Ro Users'!R25</f>
        <v>92901.746065344836</v>
      </c>
      <c r="V20" s="279">
        <f>'Ro Users'!S25</f>
        <v>94366.547559879371</v>
      </c>
      <c r="W20" s="279">
        <f>'Ro Users'!T25</f>
        <v>95831.349054413906</v>
      </c>
      <c r="X20" s="279">
        <f>'Ro Users'!U25</f>
        <v>97560.447042916057</v>
      </c>
      <c r="Y20" s="279">
        <f>'Ro Users'!V25</f>
        <v>99289.545031418267</v>
      </c>
      <c r="Z20" s="279">
        <f>'Ro Users'!W25</f>
        <v>101018.64301992045</v>
      </c>
      <c r="AA20" s="279">
        <f>'Ro Users'!X25</f>
        <v>102747.74100842263</v>
      </c>
      <c r="AB20" s="279">
        <f>'Ro Users'!Y25</f>
        <v>104476.83899692481</v>
      </c>
      <c r="AC20" s="384">
        <f>'Ro Users'!Z25</f>
        <v>106205.93698542702</v>
      </c>
      <c r="AD20" s="341">
        <f t="shared" si="0"/>
        <v>2010149.2515125079</v>
      </c>
    </row>
    <row r="21" spans="1:33" s="53" customFormat="1" ht="12">
      <c r="A21" s="58"/>
      <c r="B21" s="70"/>
      <c r="C21" s="78" t="s">
        <v>489</v>
      </c>
      <c r="D21" s="209"/>
      <c r="E21" s="216"/>
      <c r="F21" s="279">
        <f>'Ro Users'!C26</f>
        <v>0</v>
      </c>
      <c r="G21" s="279">
        <f>'Ro Users'!D26</f>
        <v>-6125.2680732395329</v>
      </c>
      <c r="H21" s="279">
        <f>'Ro Users'!E26</f>
        <v>-12445.60002475283</v>
      </c>
      <c r="I21" s="279">
        <f>'Ro Users'!F26</f>
        <v>-12640.663903026589</v>
      </c>
      <c r="J21" s="279">
        <f>'Ro Users'!G26</f>
        <v>-12835.727781300355</v>
      </c>
      <c r="K21" s="279">
        <f>'Ro Users'!H26</f>
        <v>-13030.791659574114</v>
      </c>
      <c r="L21" s="279">
        <f>'Ro Users'!I26</f>
        <v>-13225.855537847878</v>
      </c>
      <c r="M21" s="279">
        <f>'Ro Users'!J26</f>
        <v>-13420.919416121638</v>
      </c>
      <c r="N21" s="279">
        <f>'Ro Users'!K26</f>
        <v>-13663.074817036202</v>
      </c>
      <c r="O21" s="279">
        <f>'Ro Users'!L26</f>
        <v>-13905.230217950762</v>
      </c>
      <c r="P21" s="279">
        <f>'Ro Users'!M26</f>
        <v>-14147.385618865326</v>
      </c>
      <c r="Q21" s="279">
        <f>'Ro Users'!N26</f>
        <v>-14389.54101977989</v>
      </c>
      <c r="R21" s="279">
        <f>'Ro Users'!O26</f>
        <v>-14631.696420694452</v>
      </c>
      <c r="S21" s="279">
        <f>'Ro Users'!P26</f>
        <v>-14873.851821609016</v>
      </c>
      <c r="T21" s="279">
        <f>'Ro Users'!Q26</f>
        <v>-15116.007222523578</v>
      </c>
      <c r="U21" s="279">
        <f>'Ro Users'!R26</f>
        <v>-15358.162623438142</v>
      </c>
      <c r="V21" s="279">
        <f>'Ro Users'!S26</f>
        <v>-15600.318024352708</v>
      </c>
      <c r="W21" s="279">
        <f>'Ro Users'!T26</f>
        <v>-15842.473425267272</v>
      </c>
      <c r="X21" s="279">
        <f>'Ro Users'!U26</f>
        <v>-16128.321315366098</v>
      </c>
      <c r="Y21" s="279">
        <f>'Ro Users'!V26</f>
        <v>-16414.169205464936</v>
      </c>
      <c r="Z21" s="279">
        <f>'Ro Users'!W26</f>
        <v>-16700.017095563766</v>
      </c>
      <c r="AA21" s="279">
        <f>'Ro Users'!X26</f>
        <v>-16985.8649856626</v>
      </c>
      <c r="AB21" s="279">
        <f>'Ro Users'!Y26</f>
        <v>-17271.71287576143</v>
      </c>
      <c r="AC21" s="384">
        <f>'Ro Users'!Z26</f>
        <v>-17557.560765860268</v>
      </c>
      <c r="AD21" s="341">
        <f t="shared" si="0"/>
        <v>-332310.21385105944</v>
      </c>
    </row>
    <row r="22" spans="1:33" s="53" customFormat="1" ht="12">
      <c r="A22" s="58"/>
      <c r="B22" s="70"/>
      <c r="C22" s="78" t="s">
        <v>490</v>
      </c>
      <c r="D22" s="209"/>
      <c r="E22" s="216"/>
      <c r="F22" s="279">
        <f>'Ro Users'!C27</f>
        <v>0</v>
      </c>
      <c r="G22" s="279">
        <f>'Ro Users'!D27</f>
        <v>-15277.746257213603</v>
      </c>
      <c r="H22" s="279">
        <f>'Ro Users'!E27</f>
        <v>-31042.024107915233</v>
      </c>
      <c r="I22" s="279">
        <f>'Ro Users'!F27</f>
        <v>-31528.555701403253</v>
      </c>
      <c r="J22" s="279">
        <f>'Ro Users'!G27</f>
        <v>-32015.08729489128</v>
      </c>
      <c r="K22" s="279">
        <f>'Ro Users'!H27</f>
        <v>-32501.618888379293</v>
      </c>
      <c r="L22" s="279">
        <f>'Ro Users'!I27</f>
        <v>-32988.150481867327</v>
      </c>
      <c r="M22" s="279">
        <f>'Ro Users'!J27</f>
        <v>-33474.68207535534</v>
      </c>
      <c r="N22" s="279">
        <f>'Ro Users'!K27</f>
        <v>-34078.670133633073</v>
      </c>
      <c r="O22" s="279">
        <f>'Ro Users'!L27</f>
        <v>-34682.658191910799</v>
      </c>
      <c r="P22" s="279">
        <f>'Ro Users'!M27</f>
        <v>-35286.64625018854</v>
      </c>
      <c r="Q22" s="279">
        <f>'Ro Users'!N27</f>
        <v>-35890.634308466266</v>
      </c>
      <c r="R22" s="279">
        <f>'Ro Users'!O27</f>
        <v>-36494.622366743999</v>
      </c>
      <c r="S22" s="279">
        <f>'Ro Users'!P27</f>
        <v>-37098.610425021732</v>
      </c>
      <c r="T22" s="279">
        <f>'Ro Users'!Q27</f>
        <v>-37702.598483299465</v>
      </c>
      <c r="U22" s="279">
        <f>'Ro Users'!R27</f>
        <v>-38306.586541577199</v>
      </c>
      <c r="V22" s="279">
        <f>'Ro Users'!S27</f>
        <v>-38910.574599854925</v>
      </c>
      <c r="W22" s="279">
        <f>'Ro Users'!T27</f>
        <v>-39514.562658132665</v>
      </c>
      <c r="X22" s="279">
        <f>'Ro Users'!U27</f>
        <v>-40227.529255001966</v>
      </c>
      <c r="Y22" s="279">
        <f>'Ro Users'!V27</f>
        <v>-40940.495851871281</v>
      </c>
      <c r="Z22" s="279">
        <f>'Ro Users'!W27</f>
        <v>-41653.462448740596</v>
      </c>
      <c r="AA22" s="279">
        <f>'Ro Users'!X27</f>
        <v>-42366.429045609904</v>
      </c>
      <c r="AB22" s="279">
        <f>'Ro Users'!Y27</f>
        <v>-43079.39564247922</v>
      </c>
      <c r="AC22" s="384">
        <f>'Ro Users'!Z27</f>
        <v>-43792.362239348542</v>
      </c>
      <c r="AD22" s="341">
        <f t="shared" si="0"/>
        <v>-828853.70324890548</v>
      </c>
    </row>
    <row r="23" spans="1:33" s="53" customFormat="1" ht="12">
      <c r="A23" s="58"/>
      <c r="B23" s="70"/>
      <c r="C23" s="78" t="s">
        <v>491</v>
      </c>
      <c r="D23" s="209"/>
      <c r="E23" s="216"/>
      <c r="F23" s="279">
        <f>'Ro Users'!C28</f>
        <v>0</v>
      </c>
      <c r="G23" s="279">
        <f>'Ro Users'!D28</f>
        <v>-99305.350671888416</v>
      </c>
      <c r="H23" s="279">
        <f>'Ro Users'!E28</f>
        <v>-201773.15670144901</v>
      </c>
      <c r="I23" s="279">
        <f>'Ro Users'!F28</f>
        <v>-204935.61205912114</v>
      </c>
      <c r="J23" s="279">
        <f>'Ro Users'!G28</f>
        <v>-208098.06741679332</v>
      </c>
      <c r="K23" s="279">
        <f>'Ro Users'!H28</f>
        <v>-211260.52277446541</v>
      </c>
      <c r="L23" s="279">
        <f>'Ro Users'!I28</f>
        <v>-214422.97813213762</v>
      </c>
      <c r="M23" s="279">
        <f>'Ro Users'!J28</f>
        <v>-217585.43348980971</v>
      </c>
      <c r="N23" s="279">
        <f>'Ro Users'!K28</f>
        <v>-221511.35586861498</v>
      </c>
      <c r="O23" s="279">
        <f>'Ro Users'!L28</f>
        <v>-225437.27824742021</v>
      </c>
      <c r="P23" s="279">
        <f>'Ro Users'!M28</f>
        <v>-229363.2006262255</v>
      </c>
      <c r="Q23" s="279">
        <f>'Ro Users'!N28</f>
        <v>-233289.12300503073</v>
      </c>
      <c r="R23" s="279">
        <f>'Ro Users'!O28</f>
        <v>-237215.045383836</v>
      </c>
      <c r="S23" s="279">
        <f>'Ro Users'!P28</f>
        <v>-241140.96776264126</v>
      </c>
      <c r="T23" s="279">
        <f>'Ro Users'!Q28</f>
        <v>-245066.89014144652</v>
      </c>
      <c r="U23" s="279">
        <f>'Ro Users'!R28</f>
        <v>-248992.81252025178</v>
      </c>
      <c r="V23" s="279">
        <f>'Ro Users'!S28</f>
        <v>-252918.73489905702</v>
      </c>
      <c r="W23" s="279">
        <f>'Ro Users'!T28</f>
        <v>-256844.65727786231</v>
      </c>
      <c r="X23" s="279">
        <f>'Ro Users'!U28</f>
        <v>-261478.94015751278</v>
      </c>
      <c r="Y23" s="279">
        <f>'Ro Users'!V28</f>
        <v>-266113.22303716332</v>
      </c>
      <c r="Z23" s="279">
        <f>'Ro Users'!W28</f>
        <v>-270747.50591681385</v>
      </c>
      <c r="AA23" s="279">
        <f>'Ro Users'!X28</f>
        <v>-275381.78879646439</v>
      </c>
      <c r="AB23" s="279">
        <f>'Ro Users'!Y28</f>
        <v>-280016.07167611492</v>
      </c>
      <c r="AC23" s="384">
        <f>'Ro Users'!Z28</f>
        <v>-284650.35455576552</v>
      </c>
      <c r="AD23" s="341">
        <f t="shared" si="0"/>
        <v>-5387549.0711178835</v>
      </c>
    </row>
    <row r="24" spans="1:33" s="53" customFormat="1" ht="12">
      <c r="A24" s="58"/>
      <c r="B24" s="70"/>
      <c r="C24" s="54" t="s">
        <v>492</v>
      </c>
      <c r="D24" s="209"/>
      <c r="E24" s="216"/>
      <c r="F24" s="435">
        <f>'Ro Users'!C29</f>
        <v>0</v>
      </c>
      <c r="G24" s="435">
        <f>'Ro Users'!D29</f>
        <v>17499.876456310885</v>
      </c>
      <c r="H24" s="435">
        <f>'Ro Users'!E29</f>
        <v>34755.699968171706</v>
      </c>
      <c r="I24" s="435">
        <f>'Ro Users'!F29</f>
        <v>34522.405023179708</v>
      </c>
      <c r="J24" s="435">
        <f>'Ro Users'!G29</f>
        <v>34299.1720888899</v>
      </c>
      <c r="K24" s="435">
        <f>'Ro Users'!H29</f>
        <v>34085.363945189056</v>
      </c>
      <c r="L24" s="435">
        <f>'Ro Users'!I29</f>
        <v>33880.396065880901</v>
      </c>
      <c r="M24" s="435">
        <f>'Ro Users'!J29</f>
        <v>33683.731282207984</v>
      </c>
      <c r="N24" s="435">
        <f>'Ro Users'!K29</f>
        <v>33610.718692745366</v>
      </c>
      <c r="O24" s="435">
        <f>'Ro Users'!L29</f>
        <v>34188.299184773394</v>
      </c>
      <c r="P24" s="435">
        <f>'Ro Users'!M29</f>
        <v>34765.268288608524</v>
      </c>
      <c r="Q24" s="435">
        <f>'Ro Users'!N29</f>
        <v>35341.626974499384</v>
      </c>
      <c r="R24" s="435">
        <f>'Ro Users'!O29</f>
        <v>35917.376210642709</v>
      </c>
      <c r="S24" s="435">
        <f>'Ro Users'!P29</f>
        <v>36492.516963188733</v>
      </c>
      <c r="T24" s="435">
        <f>'Ro Users'!Q29</f>
        <v>37067.050196246608</v>
      </c>
      <c r="U24" s="435">
        <f>'Ro Users'!R29</f>
        <v>37640.976871889798</v>
      </c>
      <c r="V24" s="435">
        <f>'Ro Users'!S29</f>
        <v>38214.297950161425</v>
      </c>
      <c r="W24" s="435">
        <f>'Ro Users'!T29</f>
        <v>38787.014389079675</v>
      </c>
      <c r="X24" s="435">
        <f>'Ro Users'!U29</f>
        <v>39466.042775438968</v>
      </c>
      <c r="Y24" s="435">
        <f>'Ro Users'!V29</f>
        <v>40144.35579520664</v>
      </c>
      <c r="Z24" s="435">
        <f>'Ro Users'!W29</f>
        <v>40821.954578261677</v>
      </c>
      <c r="AA24" s="435">
        <f>'Ro Users'!X29</f>
        <v>41498.840252104863</v>
      </c>
      <c r="AB24" s="435">
        <f>'Ro Users'!Y29</f>
        <v>42175.013941865065</v>
      </c>
      <c r="AC24" s="436">
        <f>'Ro Users'!Z29</f>
        <v>42850.476770305489</v>
      </c>
      <c r="AD24" s="342">
        <f t="shared" si="0"/>
        <v>831708.47466484853</v>
      </c>
    </row>
    <row r="25" spans="1:33" s="53" customFormat="1" ht="12">
      <c r="A25" s="58"/>
      <c r="B25" s="70"/>
      <c r="C25" s="66"/>
      <c r="D25" s="209"/>
      <c r="E25" s="216"/>
      <c r="H25" s="59"/>
      <c r="I25" s="59"/>
      <c r="J25" s="59"/>
      <c r="K25" s="59"/>
      <c r="L25" s="59"/>
      <c r="M25" s="59"/>
      <c r="N25" s="59"/>
      <c r="O25" s="59"/>
      <c r="P25" s="59"/>
      <c r="Q25" s="59"/>
      <c r="R25" s="59"/>
      <c r="S25" s="59"/>
      <c r="T25" s="59"/>
      <c r="U25" s="59"/>
      <c r="V25" s="59"/>
      <c r="W25" s="59"/>
      <c r="X25" s="59"/>
      <c r="Y25" s="59"/>
      <c r="AC25" s="263"/>
      <c r="AD25" s="338"/>
    </row>
    <row r="26" spans="1:33" s="53" customFormat="1" ht="12">
      <c r="A26" s="58" t="s">
        <v>230</v>
      </c>
      <c r="B26" s="58"/>
      <c r="D26" s="209"/>
      <c r="E26" s="216"/>
      <c r="H26" s="59"/>
      <c r="I26" s="59"/>
      <c r="J26" s="59"/>
      <c r="K26" s="59"/>
      <c r="L26" s="59"/>
      <c r="M26" s="59"/>
      <c r="N26" s="59"/>
      <c r="O26" s="59"/>
      <c r="P26" s="59"/>
      <c r="Q26" s="59"/>
      <c r="R26" s="59"/>
      <c r="S26" s="59"/>
      <c r="T26" s="59"/>
      <c r="U26" s="59"/>
      <c r="V26" s="59"/>
      <c r="W26" s="59"/>
      <c r="X26" s="59"/>
      <c r="Y26" s="59"/>
      <c r="AC26" s="263"/>
      <c r="AD26" s="338"/>
    </row>
    <row r="27" spans="1:33" s="53" customFormat="1" ht="12">
      <c r="A27" s="58"/>
      <c r="B27" s="5" t="s">
        <v>353</v>
      </c>
      <c r="D27" s="209"/>
      <c r="E27" s="216"/>
      <c r="H27" s="59"/>
      <c r="I27" s="59"/>
      <c r="J27" s="59"/>
      <c r="K27" s="59"/>
      <c r="L27" s="59"/>
      <c r="M27" s="59"/>
      <c r="N27" s="59"/>
      <c r="O27" s="59"/>
      <c r="P27" s="59"/>
      <c r="Q27" s="59"/>
      <c r="R27" s="59"/>
      <c r="S27" s="59"/>
      <c r="T27" s="59"/>
      <c r="U27" s="59"/>
      <c r="V27" s="59"/>
      <c r="W27" s="59"/>
      <c r="X27" s="59"/>
      <c r="Y27" s="59"/>
      <c r="AC27" s="263"/>
      <c r="AD27" s="338"/>
    </row>
    <row r="28" spans="1:33" s="53" customFormat="1" ht="12">
      <c r="A28" s="58"/>
      <c r="B28" s="70" t="s">
        <v>354</v>
      </c>
      <c r="C28" s="70" t="s">
        <v>350</v>
      </c>
      <c r="D28" s="209"/>
      <c r="E28" s="216"/>
      <c r="F28" s="434">
        <f>'Ro Users'!C19</f>
        <v>6824512.5680011595</v>
      </c>
      <c r="G28" s="434">
        <f>'Ro Users'!D19</f>
        <v>13699506.98064799</v>
      </c>
      <c r="H28" s="434">
        <f>'Ro Users'!E19</f>
        <v>0</v>
      </c>
      <c r="I28" s="434">
        <f>'Ro Users'!F19</f>
        <v>0</v>
      </c>
      <c r="J28" s="434">
        <f>'Ro Users'!G19</f>
        <v>0</v>
      </c>
      <c r="K28" s="434">
        <f>'Ro Users'!H19</f>
        <v>0</v>
      </c>
      <c r="L28" s="434">
        <f>'Ro Users'!I19</f>
        <v>0</v>
      </c>
      <c r="M28" s="434">
        <f>'Ro Users'!J19</f>
        <v>0</v>
      </c>
      <c r="N28" s="434">
        <f>'Ro Users'!K19</f>
        <v>0</v>
      </c>
      <c r="O28" s="434">
        <f>'Ro Users'!L19</f>
        <v>0</v>
      </c>
      <c r="P28" s="434">
        <f>'Ro Users'!M19</f>
        <v>0</v>
      </c>
      <c r="Q28" s="434">
        <f>'Ro Users'!N19</f>
        <v>0</v>
      </c>
      <c r="R28" s="434">
        <f>'Ro Users'!O19</f>
        <v>0</v>
      </c>
      <c r="S28" s="434">
        <f>'Ro Users'!P19</f>
        <v>0</v>
      </c>
      <c r="T28" s="434">
        <f>'Ro Users'!Q19</f>
        <v>0</v>
      </c>
      <c r="U28" s="434">
        <f>'Ro Users'!R19</f>
        <v>0</v>
      </c>
      <c r="V28" s="434">
        <f>'Ro Users'!S19</f>
        <v>0</v>
      </c>
      <c r="W28" s="434">
        <f>'Ro Users'!T19</f>
        <v>0</v>
      </c>
      <c r="X28" s="434">
        <f>'Ro Users'!U19</f>
        <v>0</v>
      </c>
      <c r="Y28" s="434">
        <f>'Ro Users'!V19</f>
        <v>0</v>
      </c>
      <c r="Z28" s="434">
        <f>'Ro Users'!W19</f>
        <v>0</v>
      </c>
      <c r="AA28" s="434">
        <f>'Ro Users'!X19</f>
        <v>0</v>
      </c>
      <c r="AB28" s="434">
        <f>'Ro Users'!Y19</f>
        <v>0</v>
      </c>
      <c r="AC28" s="437">
        <f>'Ro Users'!Z19</f>
        <v>0</v>
      </c>
      <c r="AD28" s="343">
        <f t="shared" si="0"/>
        <v>20524019.548649151</v>
      </c>
    </row>
    <row r="29" spans="1:33" s="53" customFormat="1" ht="12">
      <c r="A29" s="58"/>
      <c r="B29" s="70" t="s">
        <v>355</v>
      </c>
      <c r="C29" s="70" t="s">
        <v>513</v>
      </c>
      <c r="D29" s="209"/>
      <c r="E29" s="216"/>
      <c r="F29" s="434">
        <f>'Ro Users'!C21</f>
        <v>0</v>
      </c>
      <c r="G29" s="434">
        <f>'Ro Users'!D21</f>
        <v>-7638.8731286068014</v>
      </c>
      <c r="H29" s="434">
        <f>'Ro Users'!E21</f>
        <v>-15521.012053957616</v>
      </c>
      <c r="I29" s="434">
        <f>'Ro Users'!F21</f>
        <v>-15764.277850701626</v>
      </c>
      <c r="J29" s="434">
        <f>'Ro Users'!G21</f>
        <v>-16007.54364744564</v>
      </c>
      <c r="K29" s="434">
        <f>'Ro Users'!H21</f>
        <v>-16250.809444189646</v>
      </c>
      <c r="L29" s="434">
        <f>'Ro Users'!I21</f>
        <v>-16494.075240933664</v>
      </c>
      <c r="M29" s="434">
        <f>'Ro Users'!J21</f>
        <v>-16737.34103767767</v>
      </c>
      <c r="N29" s="434">
        <f>'Ro Users'!K21</f>
        <v>-17039.335066816537</v>
      </c>
      <c r="O29" s="434">
        <f>'Ro Users'!L21</f>
        <v>-17341.3290959554</v>
      </c>
      <c r="P29" s="434">
        <f>'Ro Users'!M21</f>
        <v>-17643.32312509427</v>
      </c>
      <c r="Q29" s="434">
        <f>'Ro Users'!N21</f>
        <v>-17945.317154233133</v>
      </c>
      <c r="R29" s="434">
        <f>'Ro Users'!O21</f>
        <v>-18247.311183372</v>
      </c>
      <c r="S29" s="434">
        <f>'Ro Users'!P21</f>
        <v>-18549.305212510866</v>
      </c>
      <c r="T29" s="434">
        <f>'Ro Users'!Q21</f>
        <v>-18851.299241649733</v>
      </c>
      <c r="U29" s="434">
        <f>'Ro Users'!R21</f>
        <v>-19153.293270788599</v>
      </c>
      <c r="V29" s="434">
        <f>'Ro Users'!S21</f>
        <v>-19455.287299927462</v>
      </c>
      <c r="W29" s="434">
        <f>'Ro Users'!T21</f>
        <v>-19757.281329066333</v>
      </c>
      <c r="X29" s="434">
        <f>'Ro Users'!U21</f>
        <v>-20113.764627500983</v>
      </c>
      <c r="Y29" s="434">
        <f>'Ro Users'!V21</f>
        <v>-20470.247925935641</v>
      </c>
      <c r="Z29" s="434">
        <f>'Ro Users'!W21</f>
        <v>-20826.731224370298</v>
      </c>
      <c r="AA29" s="434">
        <f>'Ro Users'!X21</f>
        <v>-21183.214522804952</v>
      </c>
      <c r="AB29" s="434">
        <f>'Ro Users'!Y21</f>
        <v>-21539.69782123961</v>
      </c>
      <c r="AC29" s="437">
        <f>'Ro Users'!Z21</f>
        <v>-21896.181119674271</v>
      </c>
      <c r="AD29" s="341">
        <f t="shared" si="0"/>
        <v>-414426.85162445274</v>
      </c>
    </row>
    <row r="30" spans="1:33" s="53" customFormat="1" ht="12">
      <c r="A30" s="58"/>
      <c r="B30" s="70"/>
      <c r="C30" s="70" t="s">
        <v>652</v>
      </c>
      <c r="D30" s="209"/>
      <c r="E30" s="216"/>
      <c r="F30" s="434">
        <f>'Ro Users'!C22</f>
        <v>0</v>
      </c>
      <c r="G30" s="434">
        <f>'Ro Users'!D22</f>
        <v>13691868.107519384</v>
      </c>
      <c r="H30" s="434">
        <f>'Ro Users'!E22</f>
        <v>27484869.772288609</v>
      </c>
      <c r="I30" s="434">
        <f>'Ro Users'!F22</f>
        <v>27586418.24780843</v>
      </c>
      <c r="J30" s="434">
        <f>'Ro Users'!G22</f>
        <v>27688383.434022244</v>
      </c>
      <c r="K30" s="434">
        <f>'Ro Users'!H22</f>
        <v>27790767.131298844</v>
      </c>
      <c r="L30" s="434">
        <f>'Ro Users'!I22</f>
        <v>27893571.147987392</v>
      </c>
      <c r="M30" s="434">
        <f>'Ro Users'!J22</f>
        <v>27964892.658962321</v>
      </c>
      <c r="N30" s="434">
        <f>'Ro Users'!K22</f>
        <v>28020472.164933186</v>
      </c>
      <c r="O30" s="434">
        <f>'Ro Users'!L22</f>
        <v>28076207.054408718</v>
      </c>
      <c r="P30" s="434">
        <f>'Ro Users'!M22</f>
        <v>28132097.769000702</v>
      </c>
      <c r="Q30" s="434">
        <f>'Ro Users'!N22</f>
        <v>28188144.751577519</v>
      </c>
      <c r="R30" s="434">
        <f>'Ro Users'!O22</f>
        <v>28244348.446267702</v>
      </c>
      <c r="S30" s="434">
        <f>'Ro Users'!P22</f>
        <v>28300709.298463549</v>
      </c>
      <c r="T30" s="434">
        <f>'Ro Users'!Q22</f>
        <v>28357227.75482472</v>
      </c>
      <c r="U30" s="434">
        <f>'Ro Users'!R22</f>
        <v>28413904.263281807</v>
      </c>
      <c r="V30" s="434">
        <f>'Ro Users'!S22</f>
        <v>28470739.273039989</v>
      </c>
      <c r="W30" s="434">
        <f>'Ro Users'!T22</f>
        <v>28520687.718670934</v>
      </c>
      <c r="X30" s="434">
        <f>'Ro Users'!U22</f>
        <v>28584832.110405672</v>
      </c>
      <c r="Y30" s="434">
        <f>'Ro Users'!V22</f>
        <v>28642090.84282909</v>
      </c>
      <c r="Z30" s="434">
        <f>'Ro Users'!W22</f>
        <v>28699509.886192728</v>
      </c>
      <c r="AA30" s="434">
        <f>'Ro Users'!X22</f>
        <v>28757089.696129229</v>
      </c>
      <c r="AB30" s="434">
        <f>'Ro Users'!Y22</f>
        <v>28814830.729567748</v>
      </c>
      <c r="AC30" s="437">
        <f>'Ro Users'!Z22</f>
        <v>28872733.444737609</v>
      </c>
      <c r="AD30" s="343">
        <f t="shared" si="0"/>
        <v>635196395.70421803</v>
      </c>
    </row>
    <row r="31" spans="1:33" s="53" customFormat="1" ht="12">
      <c r="A31" s="58"/>
      <c r="B31" s="58"/>
      <c r="D31" s="209"/>
      <c r="E31" s="216"/>
      <c r="AC31" s="263"/>
      <c r="AD31" s="338"/>
    </row>
    <row r="32" spans="1:33" s="53" customFormat="1" ht="12">
      <c r="A32" s="58"/>
      <c r="B32" s="58"/>
      <c r="D32" s="209"/>
      <c r="E32" s="216"/>
      <c r="H32" s="59"/>
      <c r="I32" s="59"/>
      <c r="J32" s="59"/>
      <c r="K32" s="59"/>
      <c r="L32" s="59"/>
      <c r="M32" s="59"/>
      <c r="N32" s="59"/>
      <c r="O32" s="59"/>
      <c r="P32" s="59"/>
      <c r="Q32" s="59"/>
      <c r="R32" s="59"/>
      <c r="S32" s="59"/>
      <c r="T32" s="59"/>
      <c r="U32" s="59"/>
      <c r="V32" s="59"/>
      <c r="W32" s="59"/>
      <c r="X32" s="59"/>
      <c r="Y32" s="59"/>
      <c r="AC32" s="263"/>
      <c r="AD32" s="338"/>
    </row>
    <row r="33" spans="1:30" s="53" customFormat="1" ht="12">
      <c r="A33" s="58" t="s">
        <v>348</v>
      </c>
      <c r="B33" s="58"/>
      <c r="D33" s="209"/>
      <c r="E33" s="216"/>
      <c r="H33" s="59"/>
      <c r="I33" s="59"/>
      <c r="J33" s="59"/>
      <c r="K33" s="59"/>
      <c r="L33" s="59"/>
      <c r="M33" s="59"/>
      <c r="N33" s="59"/>
      <c r="O33" s="59"/>
      <c r="P33" s="59"/>
      <c r="Q33" s="59"/>
      <c r="R33" s="59"/>
      <c r="S33" s="59"/>
      <c r="T33" s="59"/>
      <c r="U33" s="59"/>
      <c r="V33" s="59"/>
      <c r="W33" s="59"/>
      <c r="X33" s="59"/>
      <c r="Y33" s="59"/>
      <c r="AC33" s="263"/>
      <c r="AD33" s="338"/>
    </row>
    <row r="34" spans="1:30" s="53" customFormat="1" ht="12">
      <c r="A34" s="58"/>
      <c r="B34" s="58"/>
      <c r="C34" s="197" t="s">
        <v>349</v>
      </c>
      <c r="D34" s="209"/>
      <c r="E34" s="216"/>
      <c r="H34" s="59"/>
      <c r="I34" s="59"/>
      <c r="J34" s="59"/>
      <c r="K34" s="59"/>
      <c r="L34" s="59"/>
      <c r="M34" s="59"/>
      <c r="N34" s="59"/>
      <c r="O34" s="59"/>
      <c r="P34" s="59"/>
      <c r="Q34" s="59"/>
      <c r="R34" s="59"/>
      <c r="S34" s="59"/>
      <c r="T34" s="59"/>
      <c r="U34" s="59"/>
      <c r="V34" s="59"/>
      <c r="W34" s="59"/>
      <c r="X34" s="59"/>
      <c r="Y34" s="59"/>
      <c r="AC34" s="263"/>
      <c r="AD34" s="338"/>
    </row>
    <row r="35" spans="1:30" s="53" customFormat="1" ht="12">
      <c r="A35" s="58"/>
      <c r="B35" s="58"/>
      <c r="D35" s="209"/>
      <c r="E35" s="216"/>
      <c r="H35" s="59"/>
      <c r="I35" s="59"/>
      <c r="J35" s="59"/>
      <c r="K35" s="59"/>
      <c r="L35" s="59"/>
      <c r="M35" s="59"/>
      <c r="N35" s="59"/>
      <c r="O35" s="59"/>
      <c r="P35" s="59"/>
      <c r="Q35" s="59"/>
      <c r="R35" s="59"/>
      <c r="S35" s="59"/>
      <c r="T35" s="59"/>
      <c r="U35" s="59"/>
      <c r="V35" s="59"/>
      <c r="W35" s="59"/>
      <c r="X35" s="59"/>
      <c r="Y35" s="59"/>
      <c r="AC35" s="263"/>
      <c r="AD35" s="338"/>
    </row>
    <row r="36" spans="1:30" s="53" customFormat="1" ht="12">
      <c r="A36" s="58"/>
      <c r="B36" s="58"/>
      <c r="D36" s="209"/>
      <c r="E36" s="216"/>
      <c r="H36" s="59"/>
      <c r="I36" s="59"/>
      <c r="J36" s="59"/>
      <c r="K36" s="59"/>
      <c r="L36" s="59"/>
      <c r="M36" s="59"/>
      <c r="N36" s="59"/>
      <c r="O36" s="59"/>
      <c r="P36" s="59"/>
      <c r="Q36" s="59"/>
      <c r="R36" s="59"/>
      <c r="S36" s="59"/>
      <c r="T36" s="59"/>
      <c r="U36" s="59"/>
      <c r="V36" s="59"/>
      <c r="W36" s="59"/>
      <c r="X36" s="59"/>
      <c r="Y36" s="59"/>
      <c r="AC36" s="263"/>
      <c r="AD36" s="338"/>
    </row>
    <row r="37" spans="1:30" s="53" customFormat="1" ht="12">
      <c r="A37" s="58"/>
      <c r="B37" s="58"/>
      <c r="C37" s="45"/>
      <c r="D37" s="210"/>
      <c r="E37" s="216"/>
      <c r="F37" s="59"/>
      <c r="G37" s="59"/>
      <c r="H37" s="59"/>
      <c r="I37" s="59"/>
      <c r="J37" s="59"/>
      <c r="K37" s="59"/>
      <c r="L37" s="59"/>
      <c r="M37" s="59"/>
      <c r="N37" s="59"/>
      <c r="O37" s="59"/>
      <c r="P37" s="59"/>
      <c r="Q37" s="59"/>
      <c r="R37" s="59"/>
      <c r="S37" s="59"/>
      <c r="T37" s="59"/>
      <c r="U37" s="59"/>
      <c r="V37" s="59"/>
      <c r="W37" s="59"/>
      <c r="X37" s="59"/>
      <c r="Y37" s="59"/>
      <c r="AC37" s="263"/>
      <c r="AD37" s="338"/>
    </row>
    <row r="38" spans="1:30" s="53" customFormat="1" ht="12">
      <c r="A38" s="44" t="s">
        <v>346</v>
      </c>
      <c r="B38" s="44"/>
      <c r="C38" s="45"/>
      <c r="D38" s="210"/>
      <c r="E38" s="217"/>
      <c r="F38" s="45"/>
      <c r="G38" s="59"/>
      <c r="H38" s="59"/>
      <c r="I38" s="59"/>
      <c r="J38" s="59"/>
      <c r="K38" s="59"/>
      <c r="L38" s="59"/>
      <c r="M38" s="59"/>
      <c r="N38" s="59"/>
      <c r="O38" s="59"/>
      <c r="P38" s="59"/>
      <c r="Q38" s="59"/>
      <c r="R38" s="59"/>
      <c r="S38" s="59"/>
      <c r="T38" s="59"/>
      <c r="U38" s="59"/>
      <c r="V38" s="59"/>
      <c r="W38" s="59"/>
      <c r="X38" s="59"/>
      <c r="Y38" s="59"/>
      <c r="AC38" s="263"/>
      <c r="AD38" s="338"/>
    </row>
    <row r="39" spans="1:30" s="53" customFormat="1" ht="12">
      <c r="A39" s="44"/>
      <c r="B39" s="44"/>
      <c r="C39" s="45"/>
      <c r="D39" s="210"/>
      <c r="E39" s="217"/>
      <c r="F39" s="45"/>
      <c r="G39" s="59"/>
      <c r="H39" s="59"/>
      <c r="I39" s="59"/>
      <c r="J39" s="59"/>
      <c r="K39" s="59"/>
      <c r="L39" s="59"/>
      <c r="M39" s="59"/>
      <c r="N39" s="59"/>
      <c r="O39" s="59"/>
      <c r="P39" s="59"/>
      <c r="Q39" s="59"/>
      <c r="R39" s="59"/>
      <c r="S39" s="59"/>
      <c r="T39" s="59"/>
      <c r="U39" s="59"/>
      <c r="V39" s="59"/>
      <c r="W39" s="59"/>
      <c r="X39" s="59"/>
      <c r="Y39" s="59"/>
      <c r="AC39" s="263"/>
      <c r="AD39" s="338"/>
    </row>
    <row r="40" spans="1:30" s="53" customFormat="1" ht="12">
      <c r="A40" s="44"/>
      <c r="B40" s="5" t="s">
        <v>351</v>
      </c>
      <c r="C40" s="45"/>
      <c r="D40" s="210"/>
      <c r="E40" s="217"/>
      <c r="F40" s="45"/>
      <c r="G40" s="59"/>
      <c r="H40" s="59"/>
      <c r="I40" s="59"/>
      <c r="J40" s="59"/>
      <c r="K40" s="59"/>
      <c r="L40" s="59"/>
      <c r="M40" s="59"/>
      <c r="N40" s="59"/>
      <c r="O40" s="59"/>
      <c r="P40" s="59"/>
      <c r="Q40" s="59"/>
      <c r="R40" s="59"/>
      <c r="S40" s="59"/>
      <c r="T40" s="59"/>
      <c r="U40" s="59"/>
      <c r="V40" s="59"/>
      <c r="W40" s="59"/>
      <c r="X40" s="59"/>
      <c r="Y40" s="59"/>
      <c r="AC40" s="263"/>
      <c r="AD40" s="338"/>
    </row>
    <row r="41" spans="1:30" s="53" customFormat="1" ht="12">
      <c r="A41" s="44"/>
      <c r="B41" s="250" t="s">
        <v>447</v>
      </c>
      <c r="C41" s="70" t="s">
        <v>350</v>
      </c>
      <c r="D41" s="210"/>
      <c r="E41" s="217"/>
      <c r="F41" s="45"/>
      <c r="G41" s="59"/>
      <c r="H41" s="59"/>
      <c r="I41" s="59"/>
      <c r="J41" s="59"/>
      <c r="K41" s="59"/>
      <c r="L41" s="59"/>
      <c r="M41" s="59"/>
      <c r="N41" s="59"/>
      <c r="O41" s="59"/>
      <c r="P41" s="59"/>
      <c r="Q41" s="59"/>
      <c r="R41" s="59"/>
      <c r="S41" s="59"/>
      <c r="T41" s="59"/>
      <c r="U41" s="59"/>
      <c r="V41" s="59"/>
      <c r="W41" s="59"/>
      <c r="X41" s="59"/>
      <c r="Y41" s="59"/>
      <c r="AC41" s="263"/>
      <c r="AD41" s="338"/>
    </row>
    <row r="42" spans="1:30" s="53" customFormat="1" ht="12">
      <c r="A42" s="44"/>
      <c r="C42" s="63" t="s">
        <v>131</v>
      </c>
      <c r="D42" s="210"/>
      <c r="E42" s="217"/>
      <c r="F42" s="45"/>
      <c r="G42" s="59"/>
      <c r="H42" s="59"/>
      <c r="I42" s="59"/>
      <c r="J42" s="59"/>
      <c r="K42" s="59"/>
      <c r="L42" s="59"/>
      <c r="M42" s="59"/>
      <c r="N42" s="59"/>
      <c r="O42" s="59"/>
      <c r="P42" s="59"/>
      <c r="Q42" s="59"/>
      <c r="R42" s="59"/>
      <c r="S42" s="59"/>
      <c r="T42" s="59"/>
      <c r="U42" s="59"/>
      <c r="V42" s="59"/>
      <c r="W42" s="59"/>
      <c r="X42" s="59"/>
      <c r="Y42" s="59"/>
      <c r="AC42" s="263"/>
      <c r="AD42" s="338"/>
    </row>
    <row r="43" spans="1:30" s="53" customFormat="1" ht="12">
      <c r="A43" s="44"/>
      <c r="C43" s="226" t="s">
        <v>412</v>
      </c>
      <c r="D43" s="247">
        <f>15/3600</f>
        <v>4.1666666666666666E-3</v>
      </c>
      <c r="E43" s="217"/>
      <c r="F43" s="45"/>
      <c r="G43" s="59"/>
      <c r="H43" s="59"/>
      <c r="I43" s="59"/>
      <c r="J43" s="59"/>
      <c r="K43" s="59"/>
      <c r="L43" s="59"/>
      <c r="M43" s="59"/>
      <c r="N43" s="59"/>
      <c r="O43" s="59"/>
      <c r="P43" s="59"/>
      <c r="Q43" s="59"/>
      <c r="R43" s="59"/>
      <c r="S43" s="59"/>
      <c r="T43" s="59"/>
      <c r="U43" s="59"/>
      <c r="V43" s="59"/>
      <c r="W43" s="59"/>
      <c r="X43" s="59"/>
      <c r="Y43" s="59"/>
      <c r="AC43" s="263"/>
      <c r="AD43" s="338"/>
    </row>
    <row r="44" spans="1:30" s="53" customFormat="1" ht="12">
      <c r="A44" s="44"/>
      <c r="C44" s="224" t="s">
        <v>403</v>
      </c>
      <c r="D44" s="253">
        <f>'Price Assumptions'!B7</f>
        <v>23.9</v>
      </c>
      <c r="E44" s="217"/>
      <c r="F44" s="45"/>
      <c r="G44" s="59"/>
      <c r="H44" s="59"/>
      <c r="I44" s="59"/>
      <c r="J44" s="59"/>
      <c r="K44" s="59"/>
      <c r="L44" s="59"/>
      <c r="M44" s="59"/>
      <c r="N44" s="59"/>
      <c r="O44" s="59"/>
      <c r="P44" s="59"/>
      <c r="Q44" s="59"/>
      <c r="R44" s="59"/>
      <c r="S44" s="59"/>
      <c r="T44" s="59"/>
      <c r="U44" s="59"/>
      <c r="V44" s="59"/>
      <c r="W44" s="59"/>
      <c r="X44" s="59"/>
      <c r="Y44" s="59"/>
      <c r="AC44" s="263"/>
      <c r="AD44" s="338"/>
    </row>
    <row r="45" spans="1:30" s="53" customFormat="1" ht="12">
      <c r="A45" s="44"/>
      <c r="C45" s="62" t="s">
        <v>413</v>
      </c>
      <c r="D45" s="253"/>
      <c r="E45" s="217"/>
      <c r="F45" s="285">
        <v>0</v>
      </c>
      <c r="G45" s="316">
        <f>$D$44*$D$43*G10</f>
        <v>64692.738534114702</v>
      </c>
      <c r="H45" s="316">
        <f t="shared" ref="H45:I45" si="1">$D$44*$D$43*H10</f>
        <v>131445.66714052134</v>
      </c>
      <c r="I45" s="316">
        <f t="shared" si="1"/>
        <v>133505.85721281325</v>
      </c>
      <c r="J45" s="316">
        <f>$D$44*$D$43*J10</f>
        <v>135566.04728510525</v>
      </c>
      <c r="K45" s="316">
        <f t="shared" ref="K45:AC45" si="2">$D$44*$D$43*K10</f>
        <v>137626.23735739713</v>
      </c>
      <c r="L45" s="316">
        <f t="shared" si="2"/>
        <v>139686.42742968909</v>
      </c>
      <c r="M45" s="316">
        <f t="shared" si="2"/>
        <v>141746.61750198103</v>
      </c>
      <c r="N45" s="316">
        <f t="shared" si="2"/>
        <v>144304.17022435588</v>
      </c>
      <c r="O45" s="316">
        <f t="shared" si="2"/>
        <v>146861.72294673073</v>
      </c>
      <c r="P45" s="316">
        <f t="shared" si="2"/>
        <v>149419.27566910558</v>
      </c>
      <c r="Q45" s="316">
        <f t="shared" si="2"/>
        <v>151976.82839148043</v>
      </c>
      <c r="R45" s="316">
        <f t="shared" si="2"/>
        <v>154534.38111385531</v>
      </c>
      <c r="S45" s="316">
        <f t="shared" si="2"/>
        <v>157091.93383623016</v>
      </c>
      <c r="T45" s="316">
        <f t="shared" si="2"/>
        <v>159649.48655860504</v>
      </c>
      <c r="U45" s="316">
        <f t="shared" si="2"/>
        <v>162207.03928097989</v>
      </c>
      <c r="V45" s="316">
        <f t="shared" si="2"/>
        <v>164764.59200335474</v>
      </c>
      <c r="W45" s="316">
        <f t="shared" si="2"/>
        <v>167322.14472572959</v>
      </c>
      <c r="X45" s="316">
        <f t="shared" si="2"/>
        <v>170341.16080691668</v>
      </c>
      <c r="Y45" s="316">
        <f t="shared" si="2"/>
        <v>173360.1768881038</v>
      </c>
      <c r="Z45" s="316">
        <f t="shared" si="2"/>
        <v>176379.19296929092</v>
      </c>
      <c r="AA45" s="316">
        <f t="shared" si="2"/>
        <v>179398.20905047798</v>
      </c>
      <c r="AB45" s="316">
        <f t="shared" si="2"/>
        <v>182417.22513166509</v>
      </c>
      <c r="AC45" s="317">
        <f t="shared" si="2"/>
        <v>185436.24121285227</v>
      </c>
      <c r="AD45" s="344">
        <f t="shared" si="0"/>
        <v>3509733.3732713559</v>
      </c>
    </row>
    <row r="46" spans="1:30" s="53" customFormat="1" ht="12">
      <c r="A46" s="44"/>
      <c r="B46" s="44"/>
      <c r="D46" s="253"/>
      <c r="E46" s="217"/>
      <c r="G46" s="59"/>
      <c r="H46" s="59"/>
      <c r="I46" s="59"/>
      <c r="J46" s="59"/>
      <c r="K46" s="59"/>
      <c r="L46" s="59"/>
      <c r="M46" s="59"/>
      <c r="N46" s="59"/>
      <c r="O46" s="59"/>
      <c r="P46" s="59"/>
      <c r="Q46" s="59"/>
      <c r="R46" s="59"/>
      <c r="S46" s="59"/>
      <c r="T46" s="59"/>
      <c r="U46" s="59"/>
      <c r="V46" s="59"/>
      <c r="W46" s="59"/>
      <c r="X46" s="59"/>
      <c r="Y46" s="59"/>
      <c r="AC46" s="263"/>
      <c r="AD46" s="338"/>
    </row>
    <row r="47" spans="1:30" s="53" customFormat="1" ht="12">
      <c r="A47" s="44"/>
      <c r="B47" s="250" t="s">
        <v>446</v>
      </c>
      <c r="C47" s="54" t="s">
        <v>409</v>
      </c>
      <c r="D47" s="253"/>
      <c r="E47" s="217"/>
      <c r="F47" s="45">
        <f>F11</f>
        <v>0</v>
      </c>
      <c r="G47" s="45">
        <f t="shared" ref="G47:AC47" si="3">G11</f>
        <v>6496.3419448483392</v>
      </c>
      <c r="H47" s="45">
        <f t="shared" si="3"/>
        <v>13199.564901140218</v>
      </c>
      <c r="I47" s="102">
        <f t="shared" si="3"/>
        <v>13406.44591258376</v>
      </c>
      <c r="J47" s="102">
        <f t="shared" si="3"/>
        <v>13613.326924027306</v>
      </c>
      <c r="K47" s="102">
        <f t="shared" si="3"/>
        <v>13820.207935470844</v>
      </c>
      <c r="L47" s="102">
        <f t="shared" si="3"/>
        <v>14027.088946914388</v>
      </c>
      <c r="M47" s="102">
        <f t="shared" si="3"/>
        <v>14233.969958357928</v>
      </c>
      <c r="N47" s="102">
        <f t="shared" si="3"/>
        <v>14490.795336336992</v>
      </c>
      <c r="O47" s="102">
        <f t="shared" si="3"/>
        <v>14747.620714316057</v>
      </c>
      <c r="P47" s="102">
        <f t="shared" si="3"/>
        <v>15004.446092295124</v>
      </c>
      <c r="Q47" s="102">
        <f t="shared" si="3"/>
        <v>15261.271470274187</v>
      </c>
      <c r="R47" s="102">
        <f t="shared" si="3"/>
        <v>15518.096848253253</v>
      </c>
      <c r="S47" s="102">
        <f t="shared" si="3"/>
        <v>15774.922226232318</v>
      </c>
      <c r="T47" s="102">
        <f t="shared" si="3"/>
        <v>16031.747604211385</v>
      </c>
      <c r="U47" s="102">
        <f t="shared" si="3"/>
        <v>16288.57298219045</v>
      </c>
      <c r="V47" s="102">
        <f t="shared" si="3"/>
        <v>16545.398360169514</v>
      </c>
      <c r="W47" s="102">
        <f t="shared" si="3"/>
        <v>16802.223738148579</v>
      </c>
      <c r="X47" s="102">
        <f t="shared" si="3"/>
        <v>17105.388532912137</v>
      </c>
      <c r="Y47" s="102">
        <f t="shared" si="3"/>
        <v>17408.553327675698</v>
      </c>
      <c r="Z47" s="102">
        <f t="shared" si="3"/>
        <v>17711.718122439255</v>
      </c>
      <c r="AA47" s="102">
        <f t="shared" si="3"/>
        <v>18014.882917202813</v>
      </c>
      <c r="AB47" s="102">
        <f t="shared" si="3"/>
        <v>18318.04771196637</v>
      </c>
      <c r="AC47" s="267">
        <f t="shared" si="3"/>
        <v>18621.212506729935</v>
      </c>
      <c r="AD47" s="343">
        <f t="shared" si="0"/>
        <v>352441.84501469688</v>
      </c>
    </row>
    <row r="48" spans="1:30" s="53" customFormat="1" ht="12">
      <c r="A48" s="44"/>
      <c r="B48" s="70"/>
      <c r="C48" s="63" t="s">
        <v>131</v>
      </c>
      <c r="D48" s="253"/>
      <c r="E48" s="217"/>
      <c r="F48" s="45"/>
      <c r="G48" s="45"/>
      <c r="H48" s="45"/>
      <c r="I48" s="45"/>
      <c r="J48" s="45"/>
      <c r="K48" s="45"/>
      <c r="L48" s="45"/>
      <c r="M48" s="45"/>
      <c r="N48" s="45"/>
      <c r="O48" s="45"/>
      <c r="P48" s="45"/>
      <c r="Q48" s="45"/>
      <c r="R48" s="45"/>
      <c r="S48" s="45"/>
      <c r="T48" s="45"/>
      <c r="U48" s="45"/>
      <c r="V48" s="45"/>
      <c r="W48" s="45"/>
      <c r="X48" s="45"/>
      <c r="Y48" s="45"/>
      <c r="Z48" s="45"/>
      <c r="AA48" s="45"/>
      <c r="AB48" s="45"/>
      <c r="AC48" s="263"/>
      <c r="AD48" s="338"/>
    </row>
    <row r="49" spans="1:30" s="53" customFormat="1" ht="12">
      <c r="A49" s="44"/>
      <c r="B49" s="70"/>
      <c r="C49" s="224" t="s">
        <v>387</v>
      </c>
      <c r="D49" s="253" t="s">
        <v>601</v>
      </c>
      <c r="E49" s="217"/>
      <c r="F49" s="298">
        <f>'Mode Operating Assumptions'!D29</f>
        <v>0.39100279786137265</v>
      </c>
      <c r="G49" s="298">
        <f>'Mode Operating Assumptions'!E29</f>
        <v>0.39205714599476826</v>
      </c>
      <c r="H49" s="298">
        <f>'Mode Operating Assumptions'!F29</f>
        <v>0.39311874523828177</v>
      </c>
      <c r="I49" s="298">
        <f>'Mode Operating Assumptions'!G29</f>
        <v>0.39418767065254157</v>
      </c>
      <c r="J49" s="298">
        <f>'Mode Operating Assumptions'!H29</f>
        <v>0.39526399833776032</v>
      </c>
      <c r="K49" s="298">
        <f>'Mode Operating Assumptions'!I29</f>
        <v>0.39634780545179538</v>
      </c>
      <c r="L49" s="298">
        <f>'Mode Operating Assumptions'!J29</f>
        <v>0.39743917022858699</v>
      </c>
      <c r="M49" s="298">
        <f>'Mode Operating Assumptions'!K29</f>
        <v>0.39853817199698321</v>
      </c>
      <c r="N49" s="298">
        <f>'Mode Operating Assumptions'!L29</f>
        <v>0.39964489119996166</v>
      </c>
      <c r="O49" s="298">
        <f>'Mode Operating Assumptions'!M29</f>
        <v>0.40075940941425758</v>
      </c>
      <c r="P49" s="298">
        <f>'Mode Operating Assumptions'!N29</f>
        <v>0.40188180937040846</v>
      </c>
      <c r="Q49" s="298">
        <f>'Mode Operating Assumptions'!O29</f>
        <v>0.40301217497322528</v>
      </c>
      <c r="R49" s="298">
        <f>'Mode Operating Assumptions'!P29</f>
        <v>0.40415059132270104</v>
      </c>
      <c r="S49" s="298">
        <f>'Mode Operating Assumptions'!Q29</f>
        <v>0.40529714473536788</v>
      </c>
      <c r="T49" s="298">
        <f>'Mode Operating Assumptions'!R29</f>
        <v>0.40645192276611369</v>
      </c>
      <c r="U49" s="298">
        <f>'Mode Operating Assumptions'!S29</f>
        <v>0.40761501423047014</v>
      </c>
      <c r="V49" s="298">
        <f>'Mode Operating Assumptions'!T29</f>
        <v>0.40878650922738302</v>
      </c>
      <c r="W49" s="298">
        <f>'Mode Operating Assumptions'!U29</f>
        <v>0.40996649916247907</v>
      </c>
      <c r="X49" s="298">
        <f>'Mode Operating Assumptions'!V29</f>
        <v>0.41115507677183999</v>
      </c>
      <c r="Y49" s="298">
        <f>'Mode Operating Assumptions'!W29</f>
        <v>0.41235233614629774</v>
      </c>
      <c r="Z49" s="298">
        <f>'Mode Operating Assumptions'!X29</f>
        <v>0.41355837275626389</v>
      </c>
      <c r="AA49" s="298">
        <f>'Mode Operating Assumptions'!Y29</f>
        <v>0.41477328347710757</v>
      </c>
      <c r="AB49" s="298">
        <f>'Mode Operating Assumptions'!Z29</f>
        <v>0.415997166615095</v>
      </c>
      <c r="AC49" s="301">
        <f>'Mode Operating Assumptions'!AA29</f>
        <v>0.41723012193390652</v>
      </c>
      <c r="AD49" s="345">
        <f t="shared" si="0"/>
        <v>9.6905878298649686</v>
      </c>
    </row>
    <row r="50" spans="1:30" s="53" customFormat="1" ht="12">
      <c r="A50" s="44"/>
      <c r="B50" s="70"/>
      <c r="C50" s="224" t="s">
        <v>404</v>
      </c>
      <c r="D50" s="248">
        <f>'Mode Operating Assumptions'!C150</f>
        <v>0.38127571701364549</v>
      </c>
      <c r="E50" s="217"/>
      <c r="F50" s="45"/>
      <c r="G50" s="45"/>
      <c r="H50" s="45"/>
      <c r="I50" s="45"/>
      <c r="J50" s="45"/>
      <c r="K50" s="45"/>
      <c r="L50" s="45"/>
      <c r="M50" s="45"/>
      <c r="N50" s="45"/>
      <c r="O50" s="45"/>
      <c r="P50" s="45"/>
      <c r="Q50" s="45"/>
      <c r="R50" s="45"/>
      <c r="S50" s="45"/>
      <c r="T50" s="45"/>
      <c r="U50" s="45"/>
      <c r="V50" s="45"/>
      <c r="W50" s="45"/>
      <c r="X50" s="45"/>
      <c r="Y50" s="45"/>
      <c r="Z50" s="45"/>
      <c r="AA50" s="45"/>
      <c r="AB50" s="45"/>
      <c r="AC50" s="263"/>
      <c r="AD50" s="338"/>
    </row>
    <row r="51" spans="1:30" s="53" customFormat="1" ht="12">
      <c r="A51" s="44"/>
      <c r="B51" s="70"/>
      <c r="C51" s="224" t="s">
        <v>405</v>
      </c>
      <c r="D51" s="248">
        <f>'Mode Operating Assumptions'!C52</f>
        <v>0.234375</v>
      </c>
      <c r="E51" s="217"/>
      <c r="F51" s="45"/>
      <c r="G51" s="45"/>
      <c r="H51" s="45"/>
      <c r="I51" s="45"/>
      <c r="J51" s="45"/>
      <c r="K51" s="45"/>
      <c r="L51" s="45"/>
      <c r="M51" s="45"/>
      <c r="N51" s="45"/>
      <c r="O51" s="45"/>
      <c r="P51" s="45"/>
      <c r="Q51" s="45"/>
      <c r="R51" s="45"/>
      <c r="S51" s="45"/>
      <c r="T51" s="45"/>
      <c r="U51" s="45"/>
      <c r="V51" s="45"/>
      <c r="W51" s="45"/>
      <c r="X51" s="45"/>
      <c r="Y51" s="45"/>
      <c r="Z51" s="45"/>
      <c r="AA51" s="45"/>
      <c r="AB51" s="45"/>
      <c r="AC51" s="263"/>
      <c r="AD51" s="338"/>
    </row>
    <row r="52" spans="1:30" s="53" customFormat="1" ht="12">
      <c r="A52" s="44"/>
      <c r="C52" s="224" t="s">
        <v>384</v>
      </c>
      <c r="D52" s="253">
        <f>'Price Assumptions'!B3</f>
        <v>12.5</v>
      </c>
      <c r="E52" s="217"/>
      <c r="F52" s="45"/>
      <c r="G52" s="45"/>
      <c r="H52" s="45"/>
      <c r="I52" s="45"/>
      <c r="J52" s="45"/>
      <c r="K52" s="45"/>
      <c r="L52" s="45"/>
      <c r="M52" s="45"/>
      <c r="N52" s="45"/>
      <c r="O52" s="45"/>
      <c r="P52" s="45"/>
      <c r="Q52" s="45"/>
      <c r="R52" s="45"/>
      <c r="S52" s="45"/>
      <c r="T52" s="45"/>
      <c r="U52" s="45"/>
      <c r="V52" s="45"/>
      <c r="W52" s="45"/>
      <c r="X52" s="45"/>
      <c r="Y52" s="45"/>
      <c r="Z52" s="45"/>
      <c r="AA52" s="45"/>
      <c r="AB52" s="45"/>
      <c r="AC52" s="263"/>
      <c r="AD52" s="338"/>
    </row>
    <row r="53" spans="1:30" s="53" customFormat="1" ht="12">
      <c r="A53" s="44"/>
      <c r="B53" s="70"/>
      <c r="C53" s="224" t="s">
        <v>385</v>
      </c>
      <c r="D53" s="253">
        <f>'Price Assumptions'!B5</f>
        <v>12.5</v>
      </c>
      <c r="E53" s="217"/>
      <c r="F53" s="45"/>
      <c r="G53" s="45"/>
      <c r="H53" s="45"/>
      <c r="I53" s="45"/>
      <c r="J53" s="45"/>
      <c r="K53" s="45"/>
      <c r="L53" s="45"/>
      <c r="M53" s="45"/>
      <c r="N53" s="45"/>
      <c r="O53" s="45"/>
      <c r="P53" s="45"/>
      <c r="Q53" s="45"/>
      <c r="R53" s="45"/>
      <c r="S53" s="45"/>
      <c r="T53" s="45"/>
      <c r="U53" s="45"/>
      <c r="V53" s="45"/>
      <c r="W53" s="45"/>
      <c r="X53" s="45"/>
      <c r="Y53" s="45"/>
      <c r="Z53" s="45"/>
      <c r="AA53" s="45"/>
      <c r="AB53" s="45"/>
      <c r="AC53" s="263"/>
      <c r="AD53" s="338"/>
    </row>
    <row r="54" spans="1:30" s="53" customFormat="1" ht="12">
      <c r="A54" s="44"/>
      <c r="B54" s="70"/>
      <c r="C54" s="224" t="s">
        <v>403</v>
      </c>
      <c r="D54" s="253">
        <f>D44</f>
        <v>23.9</v>
      </c>
      <c r="E54" s="217"/>
      <c r="F54" s="45"/>
      <c r="G54" s="45"/>
      <c r="H54" s="45"/>
      <c r="I54" s="45"/>
      <c r="J54" s="45"/>
      <c r="K54" s="45"/>
      <c r="L54" s="45"/>
      <c r="M54" s="45"/>
      <c r="N54" s="45"/>
      <c r="O54" s="45"/>
      <c r="P54" s="45"/>
      <c r="Q54" s="45"/>
      <c r="R54" s="45"/>
      <c r="S54" s="45"/>
      <c r="T54" s="45"/>
      <c r="U54" s="45"/>
      <c r="V54" s="45"/>
      <c r="W54" s="45"/>
      <c r="X54" s="45"/>
      <c r="Y54" s="45"/>
      <c r="Z54" s="45"/>
      <c r="AA54" s="45"/>
      <c r="AB54" s="45"/>
      <c r="AC54" s="263"/>
      <c r="AD54" s="338"/>
    </row>
    <row r="55" spans="1:30" s="53" customFormat="1" ht="12">
      <c r="A55" s="44"/>
      <c r="B55" s="70"/>
      <c r="C55" s="78" t="s">
        <v>400</v>
      </c>
      <c r="D55" s="253"/>
      <c r="E55" s="217"/>
      <c r="F55" s="255">
        <f>+(F49*$D$52)-($D$50*$D$53)-($D$51*$D$54)</f>
        <v>-5.479973989403411</v>
      </c>
      <c r="G55" s="255">
        <f>+(G49*$D$52)-($D$50*$D$53)-($D$51*$D$54)</f>
        <v>-5.4667946377359655</v>
      </c>
      <c r="H55" s="255">
        <f t="shared" ref="H55:AC55" si="4">+(H49*$D$52)-($D$50*$D$53)-($D$51*$D$54)</f>
        <v>-5.4535246471920464</v>
      </c>
      <c r="I55" s="255">
        <f t="shared" si="4"/>
        <v>-5.4401630795137992</v>
      </c>
      <c r="J55" s="255">
        <f t="shared" si="4"/>
        <v>-5.4267089834485649</v>
      </c>
      <c r="K55" s="255">
        <f t="shared" si="4"/>
        <v>-5.4131613945231267</v>
      </c>
      <c r="L55" s="255">
        <f t="shared" si="4"/>
        <v>-5.399519334813232</v>
      </c>
      <c r="M55" s="255">
        <f t="shared" si="4"/>
        <v>-5.385781812708279</v>
      </c>
      <c r="N55" s="255">
        <f t="shared" si="4"/>
        <v>-5.3719478226710482</v>
      </c>
      <c r="O55" s="255">
        <f t="shared" si="4"/>
        <v>-5.3580163449923495</v>
      </c>
      <c r="P55" s="255">
        <f t="shared" si="4"/>
        <v>-5.343986345540463</v>
      </c>
      <c r="Q55" s="255">
        <f t="shared" si="4"/>
        <v>-5.3298567755052533</v>
      </c>
      <c r="R55" s="255">
        <f t="shared" si="4"/>
        <v>-5.3156265711368063</v>
      </c>
      <c r="S55" s="255">
        <f t="shared" si="4"/>
        <v>-5.3012946534784708</v>
      </c>
      <c r="T55" s="255">
        <f t="shared" si="4"/>
        <v>-5.286859928094148</v>
      </c>
      <c r="U55" s="255">
        <f t="shared" si="4"/>
        <v>-5.2723212847896921</v>
      </c>
      <c r="V55" s="255">
        <f t="shared" si="4"/>
        <v>-5.2576775973282812</v>
      </c>
      <c r="W55" s="255">
        <f t="shared" si="4"/>
        <v>-5.242927723139581</v>
      </c>
      <c r="X55" s="255">
        <f t="shared" si="4"/>
        <v>-5.2280705030225691</v>
      </c>
      <c r="Y55" s="255">
        <f t="shared" si="4"/>
        <v>-5.2131047608418468</v>
      </c>
      <c r="Z55" s="255">
        <f t="shared" si="4"/>
        <v>-5.19802930321727</v>
      </c>
      <c r="AA55" s="255">
        <f t="shared" si="4"/>
        <v>-5.182842919206724</v>
      </c>
      <c r="AB55" s="255">
        <f t="shared" si="4"/>
        <v>-5.167544379981881</v>
      </c>
      <c r="AC55" s="268">
        <f t="shared" si="4"/>
        <v>-5.1521324384967375</v>
      </c>
      <c r="AD55" s="346">
        <f t="shared" si="0"/>
        <v>-127.68786723078153</v>
      </c>
    </row>
    <row r="56" spans="1:30" s="53" customFormat="1" ht="12">
      <c r="A56" s="44"/>
      <c r="B56" s="70"/>
      <c r="D56" s="253"/>
      <c r="E56" s="217"/>
      <c r="F56" s="255">
        <f>F55*F47</f>
        <v>0</v>
      </c>
      <c r="G56" s="255">
        <f t="shared" ref="G56:AC56" si="5">G55*G47</f>
        <v>-35514.167308996133</v>
      </c>
      <c r="H56" s="255">
        <f t="shared" si="5"/>
        <v>-71984.152520579228</v>
      </c>
      <c r="I56" s="255">
        <f t="shared" si="5"/>
        <v>-72933.252081136859</v>
      </c>
      <c r="J56" s="255">
        <f t="shared" si="5"/>
        <v>-73875.563513241199</v>
      </c>
      <c r="K56" s="255">
        <f t="shared" si="5"/>
        <v>-74811.016060572932</v>
      </c>
      <c r="L56" s="255">
        <f t="shared" si="5"/>
        <v>-75739.53798000922</v>
      </c>
      <c r="M56" s="255">
        <f t="shared" si="5"/>
        <v>-76661.056524360145</v>
      </c>
      <c r="N56" s="255">
        <f t="shared" si="5"/>
        <v>-77843.796455807285</v>
      </c>
      <c r="O56" s="255">
        <f t="shared" si="5"/>
        <v>-79017.992837053185</v>
      </c>
      <c r="P56" s="255">
        <f t="shared" si="5"/>
        <v>-80183.555039623097</v>
      </c>
      <c r="Q56" s="255">
        <f t="shared" si="5"/>
        <v>-81340.391148665891</v>
      </c>
      <c r="R56" s="255">
        <f t="shared" si="5"/>
        <v>-82488.407940049321</v>
      </c>
      <c r="S56" s="255">
        <f t="shared" si="5"/>
        <v>-83627.510856964087</v>
      </c>
      <c r="T56" s="255">
        <f t="shared" si="5"/>
        <v>-84757.603986024536</v>
      </c>
      <c r="U56" s="255">
        <f t="shared" si="5"/>
        <v>-85878.590032853012</v>
      </c>
      <c r="V56" s="255">
        <f t="shared" si="5"/>
        <v>-86990.370297135334</v>
      </c>
      <c r="W56" s="255">
        <f t="shared" si="5"/>
        <v>-88092.844647133155</v>
      </c>
      <c r="X56" s="255">
        <f t="shared" si="5"/>
        <v>-89428.177231658439</v>
      </c>
      <c r="Y56" s="255">
        <f t="shared" si="5"/>
        <v>-90752.612231875362</v>
      </c>
      <c r="Z56" s="255">
        <f t="shared" si="5"/>
        <v>-92066.029810763619</v>
      </c>
      <c r="AA56" s="255">
        <f t="shared" si="5"/>
        <v>-93368.308367762773</v>
      </c>
      <c r="AB56" s="255">
        <f t="shared" si="5"/>
        <v>-94659.324506211764</v>
      </c>
      <c r="AC56" s="268">
        <f t="shared" si="5"/>
        <v>-95938.953000064444</v>
      </c>
      <c r="AD56" s="346">
        <f t="shared" ref="AD56:AD90" si="6">SUM(F56:AC56)</f>
        <v>-1867953.2143785409</v>
      </c>
    </row>
    <row r="57" spans="1:30" s="53" customFormat="1" ht="12">
      <c r="A57" s="44"/>
      <c r="B57" s="70"/>
      <c r="C57" s="62" t="s">
        <v>413</v>
      </c>
      <c r="D57" s="210"/>
      <c r="E57" s="217"/>
      <c r="F57" s="289">
        <f>F56</f>
        <v>0</v>
      </c>
      <c r="G57" s="289">
        <f t="shared" ref="G57:AC57" si="7">G56</f>
        <v>-35514.167308996133</v>
      </c>
      <c r="H57" s="289">
        <f t="shared" si="7"/>
        <v>-71984.152520579228</v>
      </c>
      <c r="I57" s="289">
        <f t="shared" si="7"/>
        <v>-72933.252081136859</v>
      </c>
      <c r="J57" s="289">
        <f t="shared" si="7"/>
        <v>-73875.563513241199</v>
      </c>
      <c r="K57" s="289">
        <f t="shared" si="7"/>
        <v>-74811.016060572932</v>
      </c>
      <c r="L57" s="289">
        <f t="shared" si="7"/>
        <v>-75739.53798000922</v>
      </c>
      <c r="M57" s="289">
        <f t="shared" si="7"/>
        <v>-76661.056524360145</v>
      </c>
      <c r="N57" s="289">
        <f t="shared" si="7"/>
        <v>-77843.796455807285</v>
      </c>
      <c r="O57" s="289">
        <f t="shared" si="7"/>
        <v>-79017.992837053185</v>
      </c>
      <c r="P57" s="289">
        <f t="shared" si="7"/>
        <v>-80183.555039623097</v>
      </c>
      <c r="Q57" s="289">
        <f t="shared" si="7"/>
        <v>-81340.391148665891</v>
      </c>
      <c r="R57" s="289">
        <f t="shared" si="7"/>
        <v>-82488.407940049321</v>
      </c>
      <c r="S57" s="289">
        <f t="shared" si="7"/>
        <v>-83627.510856964087</v>
      </c>
      <c r="T57" s="289">
        <f t="shared" si="7"/>
        <v>-84757.603986024536</v>
      </c>
      <c r="U57" s="289">
        <f t="shared" si="7"/>
        <v>-85878.590032853012</v>
      </c>
      <c r="V57" s="289">
        <f t="shared" si="7"/>
        <v>-86990.370297135334</v>
      </c>
      <c r="W57" s="289">
        <f t="shared" si="7"/>
        <v>-88092.844647133155</v>
      </c>
      <c r="X57" s="289">
        <f t="shared" si="7"/>
        <v>-89428.177231658439</v>
      </c>
      <c r="Y57" s="289">
        <f t="shared" si="7"/>
        <v>-90752.612231875362</v>
      </c>
      <c r="Z57" s="289">
        <f t="shared" si="7"/>
        <v>-92066.029810763619</v>
      </c>
      <c r="AA57" s="289">
        <f t="shared" si="7"/>
        <v>-93368.308367762773</v>
      </c>
      <c r="AB57" s="289">
        <f t="shared" si="7"/>
        <v>-94659.324506211764</v>
      </c>
      <c r="AC57" s="318">
        <f t="shared" si="7"/>
        <v>-95938.953000064444</v>
      </c>
      <c r="AD57" s="347">
        <f t="shared" si="6"/>
        <v>-1867953.2143785409</v>
      </c>
    </row>
    <row r="58" spans="1:30" s="53" customFormat="1" ht="12">
      <c r="A58" s="44"/>
      <c r="B58" s="70"/>
      <c r="D58" s="210"/>
      <c r="E58" s="217"/>
      <c r="F58" s="233"/>
      <c r="G58" s="233"/>
      <c r="H58" s="233"/>
      <c r="I58" s="233"/>
      <c r="J58" s="233"/>
      <c r="K58" s="233"/>
      <c r="L58" s="233"/>
      <c r="M58" s="233"/>
      <c r="N58" s="233"/>
      <c r="O58" s="233"/>
      <c r="P58" s="233"/>
      <c r="Q58" s="233"/>
      <c r="R58" s="233"/>
      <c r="S58" s="233"/>
      <c r="T58" s="233"/>
      <c r="U58" s="233"/>
      <c r="V58" s="233"/>
      <c r="W58" s="233"/>
      <c r="X58" s="233"/>
      <c r="Y58" s="233"/>
      <c r="Z58" s="233"/>
      <c r="AA58" s="233"/>
      <c r="AB58" s="233"/>
      <c r="AC58" s="266"/>
      <c r="AD58" s="348"/>
    </row>
    <row r="59" spans="1:30" s="53" customFormat="1" ht="12">
      <c r="A59" s="44"/>
      <c r="B59" s="70"/>
      <c r="C59" s="63" t="s">
        <v>149</v>
      </c>
      <c r="D59" s="210"/>
      <c r="E59" s="217"/>
      <c r="F59" s="233"/>
      <c r="G59" s="233"/>
      <c r="H59" s="233"/>
      <c r="I59" s="233"/>
      <c r="J59" s="233"/>
      <c r="K59" s="233"/>
      <c r="L59" s="233"/>
      <c r="M59" s="233"/>
      <c r="N59" s="233"/>
      <c r="O59" s="233"/>
      <c r="P59" s="233"/>
      <c r="Q59" s="233"/>
      <c r="R59" s="233"/>
      <c r="S59" s="233"/>
      <c r="T59" s="233"/>
      <c r="U59" s="233"/>
      <c r="V59" s="233"/>
      <c r="W59" s="233"/>
      <c r="X59" s="233"/>
      <c r="Y59" s="233"/>
      <c r="Z59" s="233"/>
      <c r="AA59" s="233"/>
      <c r="AB59" s="233"/>
      <c r="AC59" s="266"/>
      <c r="AD59" s="348"/>
    </row>
    <row r="60" spans="1:30" s="53" customFormat="1" ht="12">
      <c r="A60" s="44"/>
      <c r="B60" s="70"/>
      <c r="C60" s="224" t="s">
        <v>472</v>
      </c>
      <c r="D60" s="253">
        <f>'Mode Operating Assumptions'!C33</f>
        <v>8.1905000000000001</v>
      </c>
      <c r="E60" s="217"/>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66"/>
      <c r="AD60" s="348"/>
    </row>
    <row r="61" spans="1:30" s="53" customFormat="1" ht="12">
      <c r="A61" s="44"/>
      <c r="B61" s="70"/>
      <c r="C61" s="225" t="s">
        <v>461</v>
      </c>
      <c r="D61" s="253">
        <f>'Mode Operating Assumptions'!C153</f>
        <v>2.107407271835358</v>
      </c>
      <c r="E61" s="217"/>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66"/>
      <c r="AD61" s="348"/>
    </row>
    <row r="62" spans="1:30" s="53" customFormat="1" ht="12">
      <c r="A62" s="44"/>
      <c r="B62" s="70"/>
      <c r="C62" s="224" t="s">
        <v>473</v>
      </c>
      <c r="D62" s="253">
        <v>0.05</v>
      </c>
      <c r="E62" s="217"/>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66"/>
      <c r="AD62" s="348"/>
    </row>
    <row r="63" spans="1:30" s="53" customFormat="1" ht="12">
      <c r="A63" s="44"/>
      <c r="B63" s="70"/>
      <c r="C63" s="78" t="s">
        <v>474</v>
      </c>
      <c r="D63" s="253">
        <f>+D60-D61-D62</f>
        <v>6.0330927281646423</v>
      </c>
      <c r="E63" s="217"/>
      <c r="F63" s="255">
        <f t="shared" ref="F63:AC63" si="8">$D63*F47</f>
        <v>0</v>
      </c>
      <c r="G63" s="255">
        <f t="shared" si="8"/>
        <v>39193.033347135468</v>
      </c>
      <c r="H63" s="255">
        <f t="shared" si="8"/>
        <v>79634.199020006301</v>
      </c>
      <c r="I63" s="255">
        <f t="shared" si="8"/>
        <v>80882.331345741681</v>
      </c>
      <c r="J63" s="255">
        <f t="shared" si="8"/>
        <v>82130.463671477075</v>
      </c>
      <c r="K63" s="255">
        <f t="shared" si="8"/>
        <v>83378.595997212426</v>
      </c>
      <c r="L63" s="255">
        <f t="shared" si="8"/>
        <v>84626.72832294782</v>
      </c>
      <c r="M63" s="255">
        <f t="shared" si="8"/>
        <v>85874.860648683185</v>
      </c>
      <c r="N63" s="255">
        <f t="shared" si="8"/>
        <v>87424.311968976821</v>
      </c>
      <c r="O63" s="255">
        <f t="shared" si="8"/>
        <v>88973.763289270457</v>
      </c>
      <c r="P63" s="255">
        <f t="shared" si="8"/>
        <v>90523.214609564093</v>
      </c>
      <c r="Q63" s="255">
        <f t="shared" si="8"/>
        <v>92072.665929857714</v>
      </c>
      <c r="R63" s="255">
        <f t="shared" si="8"/>
        <v>93622.117250151365</v>
      </c>
      <c r="S63" s="255">
        <f t="shared" si="8"/>
        <v>95171.568570444986</v>
      </c>
      <c r="T63" s="255">
        <f t="shared" si="8"/>
        <v>96721.019890738637</v>
      </c>
      <c r="U63" s="255">
        <f t="shared" si="8"/>
        <v>98270.471211032258</v>
      </c>
      <c r="V63" s="255">
        <f t="shared" si="8"/>
        <v>99819.922531325894</v>
      </c>
      <c r="W63" s="255">
        <f t="shared" si="8"/>
        <v>101369.37385161953</v>
      </c>
      <c r="X63" s="255">
        <f t="shared" si="8"/>
        <v>103198.39517034306</v>
      </c>
      <c r="Y63" s="255">
        <f t="shared" si="8"/>
        <v>105027.41648906664</v>
      </c>
      <c r="Z63" s="255">
        <f t="shared" si="8"/>
        <v>106856.43780779018</v>
      </c>
      <c r="AA63" s="255">
        <f t="shared" si="8"/>
        <v>108685.45912651373</v>
      </c>
      <c r="AB63" s="255">
        <f t="shared" si="8"/>
        <v>110514.48044523728</v>
      </c>
      <c r="AC63" s="268">
        <f t="shared" si="8"/>
        <v>112343.50176396086</v>
      </c>
      <c r="AD63" s="346">
        <f t="shared" si="6"/>
        <v>2126314.3322590976</v>
      </c>
    </row>
    <row r="64" spans="1:30" s="53" customFormat="1" ht="12">
      <c r="A64" s="44"/>
      <c r="B64" s="70"/>
      <c r="C64" s="62" t="s">
        <v>414</v>
      </c>
      <c r="D64" s="210"/>
      <c r="E64" s="217"/>
      <c r="F64" s="289">
        <f>F63</f>
        <v>0</v>
      </c>
      <c r="G64" s="289">
        <f t="shared" ref="G64:AC64" si="9">G63</f>
        <v>39193.033347135468</v>
      </c>
      <c r="H64" s="289">
        <f t="shared" si="9"/>
        <v>79634.199020006301</v>
      </c>
      <c r="I64" s="289">
        <f t="shared" si="9"/>
        <v>80882.331345741681</v>
      </c>
      <c r="J64" s="289">
        <f t="shared" si="9"/>
        <v>82130.463671477075</v>
      </c>
      <c r="K64" s="289">
        <f t="shared" si="9"/>
        <v>83378.595997212426</v>
      </c>
      <c r="L64" s="289">
        <f t="shared" si="9"/>
        <v>84626.72832294782</v>
      </c>
      <c r="M64" s="289">
        <f t="shared" si="9"/>
        <v>85874.860648683185</v>
      </c>
      <c r="N64" s="289">
        <f t="shared" si="9"/>
        <v>87424.311968976821</v>
      </c>
      <c r="O64" s="289">
        <f t="shared" si="9"/>
        <v>88973.763289270457</v>
      </c>
      <c r="P64" s="289">
        <f t="shared" si="9"/>
        <v>90523.214609564093</v>
      </c>
      <c r="Q64" s="289">
        <f t="shared" si="9"/>
        <v>92072.665929857714</v>
      </c>
      <c r="R64" s="289">
        <f t="shared" si="9"/>
        <v>93622.117250151365</v>
      </c>
      <c r="S64" s="289">
        <f t="shared" si="9"/>
        <v>95171.568570444986</v>
      </c>
      <c r="T64" s="289">
        <f t="shared" si="9"/>
        <v>96721.019890738637</v>
      </c>
      <c r="U64" s="289">
        <f t="shared" si="9"/>
        <v>98270.471211032258</v>
      </c>
      <c r="V64" s="289">
        <f t="shared" si="9"/>
        <v>99819.922531325894</v>
      </c>
      <c r="W64" s="289">
        <f t="shared" si="9"/>
        <v>101369.37385161953</v>
      </c>
      <c r="X64" s="289">
        <f t="shared" si="9"/>
        <v>103198.39517034306</v>
      </c>
      <c r="Y64" s="289">
        <f t="shared" si="9"/>
        <v>105027.41648906664</v>
      </c>
      <c r="Z64" s="289">
        <f t="shared" si="9"/>
        <v>106856.43780779018</v>
      </c>
      <c r="AA64" s="289">
        <f t="shared" si="9"/>
        <v>108685.45912651373</v>
      </c>
      <c r="AB64" s="289">
        <f t="shared" si="9"/>
        <v>110514.48044523728</v>
      </c>
      <c r="AC64" s="318">
        <f t="shared" si="9"/>
        <v>112343.50176396086</v>
      </c>
      <c r="AD64" s="347">
        <f t="shared" si="6"/>
        <v>2126314.3322590976</v>
      </c>
    </row>
    <row r="65" spans="1:30" s="53" customFormat="1" ht="12">
      <c r="A65" s="44"/>
      <c r="B65" s="70"/>
      <c r="C65" s="108"/>
      <c r="D65" s="210"/>
      <c r="E65" s="217"/>
      <c r="F65" s="45"/>
      <c r="G65" s="62"/>
      <c r="H65" s="59"/>
      <c r="I65" s="59"/>
      <c r="J65" s="59"/>
      <c r="K65" s="59"/>
      <c r="L65" s="59"/>
      <c r="M65" s="59"/>
      <c r="N65" s="59"/>
      <c r="O65" s="59"/>
      <c r="P65" s="59"/>
      <c r="Q65" s="59"/>
      <c r="R65" s="59"/>
      <c r="S65" s="59"/>
      <c r="T65" s="59"/>
      <c r="U65" s="59"/>
      <c r="V65" s="59"/>
      <c r="W65" s="59"/>
      <c r="X65" s="59"/>
      <c r="Y65" s="59"/>
      <c r="AC65" s="263"/>
      <c r="AD65" s="338"/>
    </row>
    <row r="66" spans="1:30" s="53" customFormat="1" ht="12">
      <c r="A66" s="44"/>
      <c r="B66" s="5" t="s">
        <v>261</v>
      </c>
      <c r="C66" s="55"/>
      <c r="D66" s="210"/>
      <c r="E66" s="217"/>
      <c r="F66" s="45"/>
      <c r="G66" s="59"/>
      <c r="H66" s="59"/>
      <c r="I66" s="59"/>
      <c r="J66" s="59"/>
      <c r="K66" s="59"/>
      <c r="L66" s="59"/>
      <c r="M66" s="59"/>
      <c r="N66" s="59"/>
      <c r="O66" s="59"/>
      <c r="P66" s="59"/>
      <c r="Q66" s="59"/>
      <c r="R66" s="59"/>
      <c r="S66" s="59"/>
      <c r="T66" s="59"/>
      <c r="U66" s="59"/>
      <c r="V66" s="59"/>
      <c r="W66" s="59"/>
      <c r="X66" s="59"/>
      <c r="Y66" s="59"/>
      <c r="AC66" s="263"/>
      <c r="AD66" s="338"/>
    </row>
    <row r="67" spans="1:30" s="53" customFormat="1" ht="12">
      <c r="A67" s="44"/>
      <c r="B67" s="70" t="s">
        <v>447</v>
      </c>
      <c r="C67" s="70" t="s">
        <v>350</v>
      </c>
      <c r="D67" s="210"/>
      <c r="E67" s="217"/>
      <c r="F67" s="45"/>
      <c r="G67" s="59"/>
      <c r="H67" s="59"/>
      <c r="I67" s="59"/>
      <c r="J67" s="59"/>
      <c r="K67" s="59"/>
      <c r="L67" s="59"/>
      <c r="M67" s="59"/>
      <c r="N67" s="59"/>
      <c r="O67" s="59"/>
      <c r="P67" s="59"/>
      <c r="Q67" s="59"/>
      <c r="R67" s="59"/>
      <c r="S67" s="59"/>
      <c r="T67" s="59"/>
      <c r="U67" s="59"/>
      <c r="V67" s="59"/>
      <c r="W67" s="59"/>
      <c r="X67" s="59"/>
      <c r="Y67" s="59"/>
      <c r="AC67" s="263"/>
      <c r="AD67" s="338"/>
    </row>
    <row r="68" spans="1:30" s="53" customFormat="1" ht="12">
      <c r="A68" s="44"/>
      <c r="C68" s="63" t="s">
        <v>131</v>
      </c>
      <c r="D68" s="210"/>
      <c r="E68" s="217"/>
      <c r="F68" s="45"/>
      <c r="G68" s="59"/>
      <c r="H68" s="59"/>
      <c r="I68" s="59"/>
      <c r="J68" s="59"/>
      <c r="K68" s="59"/>
      <c r="L68" s="59"/>
      <c r="M68" s="59"/>
      <c r="N68" s="59"/>
      <c r="O68" s="59"/>
      <c r="P68" s="59"/>
      <c r="Q68" s="59"/>
      <c r="R68" s="59"/>
      <c r="S68" s="59"/>
      <c r="T68" s="59"/>
      <c r="U68" s="59"/>
      <c r="V68" s="59"/>
      <c r="W68" s="59"/>
      <c r="X68" s="59"/>
      <c r="Y68" s="59"/>
      <c r="AC68" s="263"/>
      <c r="AD68" s="338"/>
    </row>
    <row r="69" spans="1:30" s="53" customFormat="1" ht="12">
      <c r="A69" s="44"/>
      <c r="B69" s="70"/>
      <c r="C69" s="226" t="s">
        <v>412</v>
      </c>
      <c r="D69" s="247">
        <f>15/3600</f>
        <v>4.1666666666666666E-3</v>
      </c>
      <c r="E69" s="217"/>
      <c r="F69" s="45"/>
      <c r="G69" s="59"/>
      <c r="H69" s="59"/>
      <c r="I69" s="59"/>
      <c r="J69" s="59"/>
      <c r="K69" s="59"/>
      <c r="L69" s="59"/>
      <c r="M69" s="59"/>
      <c r="N69" s="59"/>
      <c r="O69" s="59"/>
      <c r="P69" s="59"/>
      <c r="Q69" s="59"/>
      <c r="R69" s="59"/>
      <c r="S69" s="59"/>
      <c r="T69" s="59"/>
      <c r="U69" s="59"/>
      <c r="V69" s="59"/>
      <c r="W69" s="59"/>
      <c r="X69" s="59"/>
      <c r="Y69" s="59"/>
      <c r="AC69" s="263"/>
      <c r="AD69" s="338"/>
    </row>
    <row r="70" spans="1:30" s="53" customFormat="1" ht="12">
      <c r="A70" s="44"/>
      <c r="B70" s="70"/>
      <c r="C70" s="224" t="s">
        <v>422</v>
      </c>
      <c r="D70" s="223">
        <f>'Price Assumptions'!$B$3</f>
        <v>12.5</v>
      </c>
      <c r="E70" s="217"/>
      <c r="F70" s="45"/>
      <c r="G70" s="59"/>
      <c r="H70" s="59"/>
      <c r="I70" s="59"/>
      <c r="J70" s="59"/>
      <c r="K70" s="59"/>
      <c r="L70" s="59"/>
      <c r="M70" s="59"/>
      <c r="N70" s="59"/>
      <c r="O70" s="59"/>
      <c r="P70" s="59"/>
      <c r="Q70" s="59"/>
      <c r="R70" s="59"/>
      <c r="S70" s="59"/>
      <c r="T70" s="59"/>
      <c r="U70" s="59"/>
      <c r="V70" s="59"/>
      <c r="W70" s="59"/>
      <c r="X70" s="59"/>
      <c r="Y70" s="59"/>
      <c r="AC70" s="263"/>
      <c r="AD70" s="338"/>
    </row>
    <row r="71" spans="1:30" s="53" customFormat="1" ht="12">
      <c r="A71" s="44"/>
      <c r="B71" s="70"/>
      <c r="C71" s="62" t="s">
        <v>413</v>
      </c>
      <c r="D71" s="210"/>
      <c r="E71" s="217"/>
      <c r="F71" s="285">
        <f>($D$69/3600)*$D$70*F15</f>
        <v>0</v>
      </c>
      <c r="G71" s="285">
        <f t="shared" ref="G71" si="10">($D$69/3600)*$D$70*G15</f>
        <v>5.0818311992854541</v>
      </c>
      <c r="H71" s="285">
        <f>($D$69)*$D$70*H15</f>
        <v>37171.790014114616</v>
      </c>
      <c r="I71" s="285">
        <f t="shared" ref="I71:AC71" si="11">($D$69)*$D$70*I15</f>
        <v>37754.395393373947</v>
      </c>
      <c r="J71" s="285">
        <f t="shared" si="11"/>
        <v>38337.000772633284</v>
      </c>
      <c r="K71" s="285">
        <f t="shared" si="11"/>
        <v>38919.606151892607</v>
      </c>
      <c r="L71" s="285">
        <f t="shared" si="11"/>
        <v>39502.211531151945</v>
      </c>
      <c r="M71" s="285">
        <f t="shared" si="11"/>
        <v>40084.816910411275</v>
      </c>
      <c r="N71" s="285">
        <f t="shared" si="11"/>
        <v>40808.072494366832</v>
      </c>
      <c r="O71" s="285">
        <f t="shared" si="11"/>
        <v>41531.328078322389</v>
      </c>
      <c r="P71" s="285">
        <f t="shared" si="11"/>
        <v>42254.583662277946</v>
      </c>
      <c r="Q71" s="285">
        <f t="shared" si="11"/>
        <v>42977.839246233503</v>
      </c>
      <c r="R71" s="285">
        <f t="shared" si="11"/>
        <v>43701.09483018906</v>
      </c>
      <c r="S71" s="285">
        <f t="shared" si="11"/>
        <v>44424.35041414461</v>
      </c>
      <c r="T71" s="285">
        <f t="shared" si="11"/>
        <v>45147.605998100167</v>
      </c>
      <c r="U71" s="285">
        <f t="shared" si="11"/>
        <v>45870.861582055724</v>
      </c>
      <c r="V71" s="285">
        <f t="shared" si="11"/>
        <v>46594.117166011274</v>
      </c>
      <c r="W71" s="285">
        <f t="shared" si="11"/>
        <v>47317.372749966838</v>
      </c>
      <c r="X71" s="285">
        <f t="shared" si="11"/>
        <v>48171.126504353815</v>
      </c>
      <c r="Y71" s="285">
        <f t="shared" si="11"/>
        <v>49024.880258740806</v>
      </c>
      <c r="Z71" s="285">
        <f t="shared" si="11"/>
        <v>49878.63401312779</v>
      </c>
      <c r="AA71" s="285">
        <f t="shared" si="11"/>
        <v>50732.387767514767</v>
      </c>
      <c r="AB71" s="285">
        <f t="shared" si="11"/>
        <v>51586.141521901765</v>
      </c>
      <c r="AC71" s="285">
        <f t="shared" si="11"/>
        <v>52439.895276288764</v>
      </c>
      <c r="AD71" s="349">
        <f t="shared" si="6"/>
        <v>974235.19416837301</v>
      </c>
    </row>
    <row r="72" spans="1:30" s="53" customFormat="1" ht="12">
      <c r="A72" s="44"/>
      <c r="B72" s="70"/>
      <c r="D72" s="210"/>
      <c r="E72" s="217"/>
      <c r="F72" s="45"/>
      <c r="G72" s="59"/>
      <c r="H72" s="59"/>
      <c r="I72" s="59"/>
      <c r="J72" s="59"/>
      <c r="K72" s="59"/>
      <c r="L72" s="59"/>
      <c r="M72" s="59"/>
      <c r="N72" s="59"/>
      <c r="O72" s="59"/>
      <c r="P72" s="59"/>
      <c r="Q72" s="59"/>
      <c r="R72" s="59"/>
      <c r="S72" s="59"/>
      <c r="T72" s="59"/>
      <c r="U72" s="59"/>
      <c r="V72" s="59"/>
      <c r="W72" s="59"/>
      <c r="X72" s="59"/>
      <c r="Y72" s="59"/>
      <c r="AC72" s="263"/>
      <c r="AD72" s="338"/>
    </row>
    <row r="73" spans="1:30" s="53" customFormat="1" ht="12">
      <c r="A73" s="44"/>
      <c r="B73" s="250" t="s">
        <v>446</v>
      </c>
      <c r="C73" s="54" t="s">
        <v>410</v>
      </c>
      <c r="D73" s="210"/>
      <c r="E73" s="217"/>
      <c r="F73" s="45">
        <f>F16</f>
        <v>0</v>
      </c>
      <c r="G73" s="45">
        <f t="shared" ref="G73:AC73" si="12">G16</f>
        <v>8781.4043123652646</v>
      </c>
      <c r="H73" s="45">
        <f t="shared" si="12"/>
        <v>17842.459206775016</v>
      </c>
      <c r="I73" s="244">
        <f t="shared" si="12"/>
        <v>18122.109788819493</v>
      </c>
      <c r="J73" s="244">
        <f t="shared" si="12"/>
        <v>18401.760370863976</v>
      </c>
      <c r="K73" s="244">
        <f t="shared" si="12"/>
        <v>18681.410952908449</v>
      </c>
      <c r="L73" s="244">
        <f t="shared" si="12"/>
        <v>18961.061534952936</v>
      </c>
      <c r="M73" s="244">
        <f t="shared" si="12"/>
        <v>19240.712116997413</v>
      </c>
      <c r="N73" s="244">
        <f t="shared" si="12"/>
        <v>19587.874797296081</v>
      </c>
      <c r="O73" s="244">
        <f t="shared" si="12"/>
        <v>19935.037477594746</v>
      </c>
      <c r="P73" s="244">
        <f t="shared" si="12"/>
        <v>20282.200157893414</v>
      </c>
      <c r="Q73" s="244">
        <f t="shared" si="12"/>
        <v>20629.362838192083</v>
      </c>
      <c r="R73" s="244">
        <f t="shared" si="12"/>
        <v>20976.525518490747</v>
      </c>
      <c r="S73" s="244">
        <f t="shared" si="12"/>
        <v>21323.688198789416</v>
      </c>
      <c r="T73" s="244">
        <f t="shared" si="12"/>
        <v>21670.850879088081</v>
      </c>
      <c r="U73" s="244">
        <f t="shared" si="12"/>
        <v>22018.013559386749</v>
      </c>
      <c r="V73" s="244">
        <f t="shared" si="12"/>
        <v>22365.176239685414</v>
      </c>
      <c r="W73" s="244">
        <f t="shared" si="12"/>
        <v>22712.338919984082</v>
      </c>
      <c r="X73" s="244">
        <f t="shared" si="12"/>
        <v>23122.140722089833</v>
      </c>
      <c r="Y73" s="244">
        <f t="shared" si="12"/>
        <v>23531.942524195587</v>
      </c>
      <c r="Z73" s="244">
        <f t="shared" si="12"/>
        <v>23941.744326301341</v>
      </c>
      <c r="AA73" s="244">
        <f t="shared" si="12"/>
        <v>24351.546128407092</v>
      </c>
      <c r="AB73" s="244">
        <f t="shared" si="12"/>
        <v>24761.347930512849</v>
      </c>
      <c r="AC73" s="265">
        <f t="shared" si="12"/>
        <v>25171.149732618607</v>
      </c>
      <c r="AD73" s="340">
        <f t="shared" si="6"/>
        <v>476411.85823420866</v>
      </c>
    </row>
    <row r="74" spans="1:30" s="53" customFormat="1" ht="12">
      <c r="A74" s="44"/>
      <c r="B74" s="70"/>
      <c r="C74" s="63" t="s">
        <v>131</v>
      </c>
      <c r="D74" s="210"/>
      <c r="E74" s="217"/>
      <c r="F74" s="45"/>
      <c r="G74" s="293"/>
      <c r="H74" s="293"/>
      <c r="I74" s="293"/>
      <c r="J74" s="293"/>
      <c r="K74" s="293"/>
      <c r="L74" s="293"/>
      <c r="M74" s="293"/>
      <c r="N74" s="293"/>
      <c r="O74" s="293"/>
      <c r="P74" s="293"/>
      <c r="Q74" s="293"/>
      <c r="R74" s="293"/>
      <c r="S74" s="293"/>
      <c r="T74" s="293"/>
      <c r="U74" s="293"/>
      <c r="V74" s="293"/>
      <c r="W74" s="293"/>
      <c r="X74" s="293"/>
      <c r="Y74" s="293"/>
      <c r="Z74" s="45"/>
      <c r="AA74" s="45"/>
      <c r="AB74" s="45"/>
      <c r="AC74" s="263"/>
      <c r="AD74" s="338"/>
    </row>
    <row r="75" spans="1:30" s="53" customFormat="1" ht="12">
      <c r="A75" s="44"/>
      <c r="B75" s="70"/>
      <c r="C75" s="224" t="s">
        <v>387</v>
      </c>
      <c r="D75" s="210" t="s">
        <v>601</v>
      </c>
      <c r="E75" s="217"/>
      <c r="F75" s="298">
        <f>F49</f>
        <v>0.39100279786137265</v>
      </c>
      <c r="G75" s="298">
        <f t="shared" ref="G75:AC75" si="13">G49</f>
        <v>0.39205714599476826</v>
      </c>
      <c r="H75" s="298">
        <f t="shared" si="13"/>
        <v>0.39311874523828177</v>
      </c>
      <c r="I75" s="298">
        <f t="shared" si="13"/>
        <v>0.39418767065254157</v>
      </c>
      <c r="J75" s="298">
        <f t="shared" si="13"/>
        <v>0.39526399833776032</v>
      </c>
      <c r="K75" s="298">
        <f t="shared" si="13"/>
        <v>0.39634780545179538</v>
      </c>
      <c r="L75" s="298">
        <f t="shared" si="13"/>
        <v>0.39743917022858699</v>
      </c>
      <c r="M75" s="298">
        <f t="shared" si="13"/>
        <v>0.39853817199698321</v>
      </c>
      <c r="N75" s="298">
        <f t="shared" si="13"/>
        <v>0.39964489119996166</v>
      </c>
      <c r="O75" s="298">
        <f t="shared" si="13"/>
        <v>0.40075940941425758</v>
      </c>
      <c r="P75" s="298">
        <f t="shared" si="13"/>
        <v>0.40188180937040846</v>
      </c>
      <c r="Q75" s="298">
        <f t="shared" si="13"/>
        <v>0.40301217497322528</v>
      </c>
      <c r="R75" s="298">
        <f t="shared" si="13"/>
        <v>0.40415059132270104</v>
      </c>
      <c r="S75" s="298">
        <f t="shared" si="13"/>
        <v>0.40529714473536788</v>
      </c>
      <c r="T75" s="298">
        <f t="shared" si="13"/>
        <v>0.40645192276611369</v>
      </c>
      <c r="U75" s="298">
        <f t="shared" si="13"/>
        <v>0.40761501423047014</v>
      </c>
      <c r="V75" s="298">
        <f t="shared" si="13"/>
        <v>0.40878650922738302</v>
      </c>
      <c r="W75" s="298">
        <f t="shared" si="13"/>
        <v>0.40996649916247907</v>
      </c>
      <c r="X75" s="298">
        <f t="shared" si="13"/>
        <v>0.41115507677183999</v>
      </c>
      <c r="Y75" s="298">
        <f t="shared" si="13"/>
        <v>0.41235233614629774</v>
      </c>
      <c r="Z75" s="298">
        <f t="shared" si="13"/>
        <v>0.41355837275626389</v>
      </c>
      <c r="AA75" s="298">
        <f t="shared" si="13"/>
        <v>0.41477328347710757</v>
      </c>
      <c r="AB75" s="298">
        <f t="shared" si="13"/>
        <v>0.415997166615095</v>
      </c>
      <c r="AC75" s="301">
        <f t="shared" si="13"/>
        <v>0.41723012193390652</v>
      </c>
      <c r="AD75" s="345">
        <f t="shared" si="6"/>
        <v>9.6905878298649686</v>
      </c>
    </row>
    <row r="76" spans="1:30" s="53" customFormat="1" ht="12">
      <c r="A76" s="44"/>
      <c r="B76" s="70"/>
      <c r="C76" s="224" t="s">
        <v>404</v>
      </c>
      <c r="D76" s="248">
        <f>D50</f>
        <v>0.38127571701364549</v>
      </c>
      <c r="E76" s="217"/>
      <c r="F76" s="45"/>
      <c r="G76" s="293"/>
      <c r="H76" s="293"/>
      <c r="I76" s="293"/>
      <c r="J76" s="293"/>
      <c r="K76" s="293"/>
      <c r="L76" s="293"/>
      <c r="M76" s="293"/>
      <c r="N76" s="293"/>
      <c r="O76" s="293"/>
      <c r="P76" s="293"/>
      <c r="Q76" s="293"/>
      <c r="R76" s="293"/>
      <c r="S76" s="293"/>
      <c r="T76" s="293"/>
      <c r="U76" s="293"/>
      <c r="V76" s="293"/>
      <c r="W76" s="293"/>
      <c r="X76" s="293"/>
      <c r="Y76" s="293"/>
      <c r="Z76" s="45"/>
      <c r="AA76" s="45"/>
      <c r="AB76" s="45"/>
      <c r="AC76" s="263"/>
      <c r="AD76" s="338"/>
    </row>
    <row r="77" spans="1:30" s="53" customFormat="1" ht="12">
      <c r="A77" s="44"/>
      <c r="B77" s="70"/>
      <c r="C77" s="224" t="s">
        <v>423</v>
      </c>
      <c r="D77" s="210">
        <f>'Mode Operating Assumptions'!C102</f>
        <v>0.17899999999999999</v>
      </c>
      <c r="E77" s="217"/>
      <c r="F77" s="45"/>
      <c r="G77" s="293"/>
      <c r="H77" s="293"/>
      <c r="I77" s="293"/>
      <c r="J77" s="293"/>
      <c r="K77" s="293"/>
      <c r="L77" s="293"/>
      <c r="M77" s="293"/>
      <c r="N77" s="293"/>
      <c r="O77" s="293"/>
      <c r="P77" s="293"/>
      <c r="Q77" s="293"/>
      <c r="R77" s="293"/>
      <c r="S77" s="293"/>
      <c r="T77" s="293"/>
      <c r="U77" s="293"/>
      <c r="V77" s="293"/>
      <c r="W77" s="293"/>
      <c r="X77" s="293"/>
      <c r="Y77" s="293"/>
      <c r="Z77" s="45"/>
      <c r="AA77" s="45"/>
      <c r="AB77" s="45"/>
      <c r="AC77" s="263"/>
      <c r="AD77" s="338"/>
    </row>
    <row r="78" spans="1:30" s="53" customFormat="1" ht="12">
      <c r="A78" s="44"/>
      <c r="B78" s="70"/>
      <c r="C78" s="224" t="s">
        <v>384</v>
      </c>
      <c r="D78" s="253">
        <f>D52</f>
        <v>12.5</v>
      </c>
      <c r="E78" s="217"/>
      <c r="F78" s="45"/>
      <c r="G78" s="293"/>
      <c r="H78" s="293"/>
      <c r="I78" s="293"/>
      <c r="J78" s="293"/>
      <c r="K78" s="293"/>
      <c r="L78" s="293"/>
      <c r="M78" s="293"/>
      <c r="N78" s="293"/>
      <c r="O78" s="293"/>
      <c r="P78" s="293"/>
      <c r="Q78" s="293"/>
      <c r="R78" s="293"/>
      <c r="S78" s="293"/>
      <c r="T78" s="293"/>
      <c r="U78" s="293"/>
      <c r="V78" s="293"/>
      <c r="W78" s="293"/>
      <c r="X78" s="293"/>
      <c r="Y78" s="293"/>
      <c r="Z78" s="45"/>
      <c r="AA78" s="45"/>
      <c r="AB78" s="45"/>
      <c r="AC78" s="263"/>
      <c r="AD78" s="338"/>
    </row>
    <row r="79" spans="1:30" s="53" customFormat="1" ht="12">
      <c r="A79" s="44"/>
      <c r="B79" s="70"/>
      <c r="C79" s="224" t="s">
        <v>385</v>
      </c>
      <c r="D79" s="253">
        <f t="shared" ref="D79" si="14">D53</f>
        <v>12.5</v>
      </c>
      <c r="E79" s="217"/>
      <c r="F79" s="45"/>
      <c r="G79" s="293"/>
      <c r="H79" s="293"/>
      <c r="I79" s="293"/>
      <c r="J79" s="293"/>
      <c r="K79" s="293"/>
      <c r="L79" s="293"/>
      <c r="M79" s="293"/>
      <c r="N79" s="293"/>
      <c r="O79" s="293"/>
      <c r="P79" s="293"/>
      <c r="Q79" s="293"/>
      <c r="R79" s="293"/>
      <c r="S79" s="293"/>
      <c r="T79" s="293"/>
      <c r="U79" s="293"/>
      <c r="V79" s="293"/>
      <c r="W79" s="293"/>
      <c r="X79" s="293"/>
      <c r="Y79" s="293"/>
      <c r="Z79" s="45"/>
      <c r="AA79" s="45"/>
      <c r="AB79" s="45"/>
      <c r="AC79" s="263"/>
      <c r="AD79" s="338"/>
    </row>
    <row r="80" spans="1:30" s="53" customFormat="1" ht="12">
      <c r="A80" s="44"/>
      <c r="B80" s="70"/>
      <c r="C80" s="224" t="s">
        <v>422</v>
      </c>
      <c r="D80" s="253">
        <f>'Price Assumptions'!B6</f>
        <v>12.5</v>
      </c>
      <c r="E80" s="217"/>
      <c r="F80" s="45"/>
      <c r="G80" s="293"/>
      <c r="H80" s="293"/>
      <c r="I80" s="293"/>
      <c r="J80" s="293"/>
      <c r="K80" s="293"/>
      <c r="L80" s="293"/>
      <c r="M80" s="293"/>
      <c r="N80" s="293"/>
      <c r="O80" s="293"/>
      <c r="P80" s="293"/>
      <c r="Q80" s="293"/>
      <c r="R80" s="293"/>
      <c r="S80" s="293"/>
      <c r="T80" s="293"/>
      <c r="U80" s="293"/>
      <c r="V80" s="293"/>
      <c r="W80" s="293"/>
      <c r="X80" s="293"/>
      <c r="Y80" s="293"/>
      <c r="Z80" s="45"/>
      <c r="AA80" s="45"/>
      <c r="AB80" s="45"/>
      <c r="AC80" s="263"/>
      <c r="AD80" s="338"/>
    </row>
    <row r="81" spans="1:30" s="53" customFormat="1" ht="12">
      <c r="A81" s="44"/>
      <c r="B81" s="70"/>
      <c r="C81" s="78" t="s">
        <v>424</v>
      </c>
      <c r="D81" s="210"/>
      <c r="E81" s="217"/>
      <c r="F81" s="255">
        <f>+(F75*$D$78)-($D$76*$D$79)-($D$77*$D$80)</f>
        <v>-2.1159114894034108</v>
      </c>
      <c r="G81" s="255">
        <f t="shared" ref="G81:AC81" si="15">+(G75*$D$78)-($D$76*$D$79)-($D$77*$D$80)</f>
        <v>-2.1027321377359653</v>
      </c>
      <c r="H81" s="255">
        <f t="shared" si="15"/>
        <v>-2.0894621471920463</v>
      </c>
      <c r="I81" s="255">
        <f t="shared" si="15"/>
        <v>-2.076100579513799</v>
      </c>
      <c r="J81" s="255">
        <f t="shared" si="15"/>
        <v>-2.0626464834485647</v>
      </c>
      <c r="K81" s="255">
        <f t="shared" si="15"/>
        <v>-2.0490988945231265</v>
      </c>
      <c r="L81" s="255">
        <f t="shared" si="15"/>
        <v>-2.0354568348132318</v>
      </c>
      <c r="M81" s="255">
        <f t="shared" si="15"/>
        <v>-2.0217193127082789</v>
      </c>
      <c r="N81" s="255">
        <f t="shared" si="15"/>
        <v>-2.007885322671048</v>
      </c>
      <c r="O81" s="255">
        <f t="shared" si="15"/>
        <v>-1.9939538449923493</v>
      </c>
      <c r="P81" s="255">
        <f t="shared" si="15"/>
        <v>-1.9799238455404629</v>
      </c>
      <c r="Q81" s="255">
        <f t="shared" si="15"/>
        <v>-1.9657942755052531</v>
      </c>
      <c r="R81" s="255">
        <f t="shared" si="15"/>
        <v>-1.9515640711368061</v>
      </c>
      <c r="S81" s="255">
        <f t="shared" si="15"/>
        <v>-1.9372321534784707</v>
      </c>
      <c r="T81" s="255">
        <f t="shared" si="15"/>
        <v>-1.9227974280941478</v>
      </c>
      <c r="U81" s="255">
        <f t="shared" si="15"/>
        <v>-1.9082587847896919</v>
      </c>
      <c r="V81" s="255">
        <f t="shared" si="15"/>
        <v>-1.893615097328281</v>
      </c>
      <c r="W81" s="255">
        <f t="shared" si="15"/>
        <v>-1.8788652231395808</v>
      </c>
      <c r="X81" s="255">
        <f t="shared" si="15"/>
        <v>-1.864008003022569</v>
      </c>
      <c r="Y81" s="255">
        <f t="shared" si="15"/>
        <v>-1.8490422608418466</v>
      </c>
      <c r="Z81" s="255">
        <f t="shared" si="15"/>
        <v>-1.8339668032172698</v>
      </c>
      <c r="AA81" s="255">
        <f t="shared" si="15"/>
        <v>-1.8187804192067238</v>
      </c>
      <c r="AB81" s="255">
        <f t="shared" si="15"/>
        <v>-1.8034818799818808</v>
      </c>
      <c r="AC81" s="268">
        <f t="shared" si="15"/>
        <v>-1.7880699384967373</v>
      </c>
      <c r="AD81" s="346">
        <f t="shared" si="6"/>
        <v>-46.950367230781552</v>
      </c>
    </row>
    <row r="82" spans="1:30">
      <c r="D82" s="210"/>
      <c r="E82" s="217"/>
      <c r="F82" s="255">
        <f>F81*F73</f>
        <v>0</v>
      </c>
      <c r="G82" s="255">
        <f t="shared" ref="G82:AC82" si="16">G81*G73</f>
        <v>-18464.941062063637</v>
      </c>
      <c r="H82" s="255">
        <f t="shared" si="16"/>
        <v>-37281.14312537462</v>
      </c>
      <c r="I82" s="255">
        <f t="shared" si="16"/>
        <v>-37623.322634580836</v>
      </c>
      <c r="J82" s="255">
        <f t="shared" si="16"/>
        <v>-37956.326318225736</v>
      </c>
      <c r="K82" s="255">
        <f t="shared" si="16"/>
        <v>-38280.058531736933</v>
      </c>
      <c r="L82" s="255">
        <f t="shared" si="16"/>
        <v>-38594.42229663422</v>
      </c>
      <c r="M82" s="255">
        <f t="shared" si="16"/>
        <v>-38899.319277193863</v>
      </c>
      <c r="N82" s="255">
        <f t="shared" si="16"/>
        <v>-39330.206307808934</v>
      </c>
      <c r="O82" s="255">
        <f t="shared" si="16"/>
        <v>-39749.544628516625</v>
      </c>
      <c r="P82" s="255">
        <f t="shared" si="16"/>
        <v>-40157.211732637712</v>
      </c>
      <c r="Q82" s="255">
        <f t="shared" si="16"/>
        <v>-40553.083374638794</v>
      </c>
      <c r="R82" s="255">
        <f t="shared" si="16"/>
        <v>-40937.033539170901</v>
      </c>
      <c r="S82" s="255">
        <f t="shared" si="16"/>
        <v>-41308.934409444271</v>
      </c>
      <c r="T82" s="255">
        <f t="shared" si="16"/>
        <v>-41668.656334922365</v>
      </c>
      <c r="U82" s="255">
        <f t="shared" si="16"/>
        <v>-42016.06779831832</v>
      </c>
      <c r="V82" s="255">
        <f t="shared" si="16"/>
        <v>-42351.035381876056</v>
      </c>
      <c r="W82" s="255">
        <f t="shared" si="16"/>
        <v>-42673.423732917676</v>
      </c>
      <c r="X82" s="255">
        <f t="shared" si="16"/>
        <v>-43099.855352989493</v>
      </c>
      <c r="Y82" s="255">
        <f t="shared" si="16"/>
        <v>-43511.556206939</v>
      </c>
      <c r="Z82" s="255">
        <f t="shared" si="16"/>
        <v>-43908.364305552081</v>
      </c>
      <c r="AA82" s="255">
        <f t="shared" si="16"/>
        <v>-44290.115275756121</v>
      </c>
      <c r="AB82" s="255">
        <f t="shared" si="16"/>
        <v>-44656.642316606769</v>
      </c>
      <c r="AC82" s="268">
        <f t="shared" si="16"/>
        <v>-45007.77615429552</v>
      </c>
      <c r="AD82" s="346">
        <f t="shared" si="6"/>
        <v>-922319.04009820055</v>
      </c>
    </row>
    <row r="83" spans="1:30" s="53" customFormat="1" ht="12">
      <c r="A83" s="44"/>
      <c r="B83" s="70"/>
      <c r="C83" s="62" t="s">
        <v>413</v>
      </c>
      <c r="D83" s="210"/>
      <c r="E83" s="217"/>
      <c r="F83" s="289">
        <f>F82</f>
        <v>0</v>
      </c>
      <c r="G83" s="289">
        <f t="shared" ref="G83:AC83" si="17">G82</f>
        <v>-18464.941062063637</v>
      </c>
      <c r="H83" s="289">
        <f t="shared" si="17"/>
        <v>-37281.14312537462</v>
      </c>
      <c r="I83" s="289">
        <f t="shared" si="17"/>
        <v>-37623.322634580836</v>
      </c>
      <c r="J83" s="289">
        <f t="shared" si="17"/>
        <v>-37956.326318225736</v>
      </c>
      <c r="K83" s="289">
        <f t="shared" si="17"/>
        <v>-38280.058531736933</v>
      </c>
      <c r="L83" s="289">
        <f t="shared" si="17"/>
        <v>-38594.42229663422</v>
      </c>
      <c r="M83" s="289">
        <f t="shared" si="17"/>
        <v>-38899.319277193863</v>
      </c>
      <c r="N83" s="289">
        <f t="shared" si="17"/>
        <v>-39330.206307808934</v>
      </c>
      <c r="O83" s="289">
        <f t="shared" si="17"/>
        <v>-39749.544628516625</v>
      </c>
      <c r="P83" s="289">
        <f t="shared" si="17"/>
        <v>-40157.211732637712</v>
      </c>
      <c r="Q83" s="289">
        <f t="shared" si="17"/>
        <v>-40553.083374638794</v>
      </c>
      <c r="R83" s="289">
        <f t="shared" si="17"/>
        <v>-40937.033539170901</v>
      </c>
      <c r="S83" s="289">
        <f t="shared" si="17"/>
        <v>-41308.934409444271</v>
      </c>
      <c r="T83" s="289">
        <f t="shared" si="17"/>
        <v>-41668.656334922365</v>
      </c>
      <c r="U83" s="289">
        <f t="shared" si="17"/>
        <v>-42016.06779831832</v>
      </c>
      <c r="V83" s="289">
        <f t="shared" si="17"/>
        <v>-42351.035381876056</v>
      </c>
      <c r="W83" s="289">
        <f t="shared" si="17"/>
        <v>-42673.423732917676</v>
      </c>
      <c r="X83" s="289">
        <f t="shared" si="17"/>
        <v>-43099.855352989493</v>
      </c>
      <c r="Y83" s="289">
        <f t="shared" si="17"/>
        <v>-43511.556206939</v>
      </c>
      <c r="Z83" s="289">
        <f t="shared" si="17"/>
        <v>-43908.364305552081</v>
      </c>
      <c r="AA83" s="289">
        <f t="shared" si="17"/>
        <v>-44290.115275756121</v>
      </c>
      <c r="AB83" s="289">
        <f t="shared" si="17"/>
        <v>-44656.642316606769</v>
      </c>
      <c r="AC83" s="318">
        <f t="shared" si="17"/>
        <v>-45007.77615429552</v>
      </c>
      <c r="AD83" s="347">
        <f t="shared" si="6"/>
        <v>-922319.04009820055</v>
      </c>
    </row>
    <row r="84" spans="1:30" s="53" customFormat="1" ht="12">
      <c r="A84" s="44"/>
      <c r="B84" s="70"/>
      <c r="C84" s="62"/>
      <c r="D84" s="210"/>
      <c r="E84" s="217"/>
      <c r="F84" s="45"/>
      <c r="G84" s="59"/>
      <c r="H84" s="59"/>
      <c r="I84" s="59"/>
      <c r="J84" s="59"/>
      <c r="K84" s="59"/>
      <c r="L84" s="59"/>
      <c r="M84" s="59"/>
      <c r="N84" s="59"/>
      <c r="O84" s="59"/>
      <c r="P84" s="59"/>
      <c r="Q84" s="59"/>
      <c r="R84" s="59"/>
      <c r="S84" s="59"/>
      <c r="T84" s="59"/>
      <c r="U84" s="59"/>
      <c r="V84" s="59"/>
      <c r="W84" s="59"/>
      <c r="X84" s="59"/>
      <c r="Y84" s="59"/>
      <c r="AC84" s="263"/>
      <c r="AD84" s="338"/>
    </row>
    <row r="85" spans="1:30" s="53" customFormat="1" ht="12">
      <c r="A85" s="44"/>
      <c r="B85" s="70"/>
      <c r="C85" s="63" t="s">
        <v>149</v>
      </c>
      <c r="D85" s="210"/>
      <c r="E85" s="217"/>
      <c r="F85" s="45"/>
      <c r="G85" s="59"/>
      <c r="H85" s="59"/>
      <c r="I85" s="59"/>
      <c r="J85" s="59"/>
      <c r="K85" s="59"/>
      <c r="L85" s="59"/>
      <c r="M85" s="59"/>
      <c r="N85" s="59"/>
      <c r="O85" s="59"/>
      <c r="P85" s="59"/>
      <c r="Q85" s="59"/>
      <c r="R85" s="59"/>
      <c r="S85" s="59"/>
      <c r="T85" s="59"/>
      <c r="U85" s="59"/>
      <c r="V85" s="59"/>
      <c r="W85" s="59"/>
      <c r="X85" s="59"/>
      <c r="Y85" s="59"/>
      <c r="AC85" s="263"/>
      <c r="AD85" s="338"/>
    </row>
    <row r="86" spans="1:30" s="53" customFormat="1" ht="12">
      <c r="A86" s="44"/>
      <c r="B86" s="70"/>
      <c r="C86" s="224" t="s">
        <v>430</v>
      </c>
      <c r="D86" s="253">
        <f>D60</f>
        <v>8.1905000000000001</v>
      </c>
      <c r="E86" s="217"/>
      <c r="F86" s="45"/>
      <c r="G86" s="59"/>
      <c r="H86" s="59"/>
      <c r="I86" s="59"/>
      <c r="J86" s="59"/>
      <c r="K86" s="59"/>
      <c r="L86" s="59"/>
      <c r="M86" s="59"/>
      <c r="N86" s="59"/>
      <c r="O86" s="59"/>
      <c r="P86" s="59"/>
      <c r="Q86" s="59"/>
      <c r="R86" s="59"/>
      <c r="S86" s="59"/>
      <c r="T86" s="59"/>
      <c r="U86" s="59"/>
      <c r="V86" s="59"/>
      <c r="W86" s="59"/>
      <c r="X86" s="59"/>
      <c r="Y86" s="59"/>
      <c r="AC86" s="263"/>
      <c r="AD86" s="338"/>
    </row>
    <row r="87" spans="1:30" s="53" customFormat="1" ht="12">
      <c r="A87" s="44"/>
      <c r="B87" s="70"/>
      <c r="C87" s="225" t="s">
        <v>386</v>
      </c>
      <c r="D87" s="253">
        <f t="shared" ref="D87" si="18">D61</f>
        <v>2.107407271835358</v>
      </c>
      <c r="E87" s="217"/>
      <c r="F87" s="45"/>
      <c r="G87" s="59"/>
      <c r="H87" s="59"/>
      <c r="I87" s="59"/>
      <c r="J87" s="59"/>
      <c r="K87" s="59"/>
      <c r="L87" s="59"/>
      <c r="M87" s="59"/>
      <c r="N87" s="59"/>
      <c r="O87" s="59"/>
      <c r="P87" s="59"/>
      <c r="Q87" s="59"/>
      <c r="R87" s="59"/>
      <c r="S87" s="59"/>
      <c r="T87" s="59"/>
      <c r="U87" s="59"/>
      <c r="V87" s="59"/>
      <c r="W87" s="59"/>
      <c r="X87" s="59"/>
      <c r="Y87" s="59"/>
      <c r="AC87" s="263"/>
      <c r="AD87" s="338"/>
    </row>
    <row r="88" spans="1:30" s="53" customFormat="1" ht="12">
      <c r="A88" s="44"/>
      <c r="B88" s="70"/>
      <c r="C88" s="225" t="s">
        <v>398</v>
      </c>
      <c r="D88" s="253">
        <v>0.1</v>
      </c>
      <c r="E88" s="217"/>
      <c r="F88" s="45"/>
      <c r="G88" s="59"/>
      <c r="H88" s="59"/>
      <c r="I88" s="59"/>
      <c r="J88" s="59"/>
      <c r="K88" s="59"/>
      <c r="L88" s="59"/>
      <c r="M88" s="59"/>
      <c r="N88" s="59"/>
      <c r="O88" s="59"/>
      <c r="P88" s="59"/>
      <c r="Q88" s="59"/>
      <c r="R88" s="59"/>
      <c r="S88" s="59"/>
      <c r="T88" s="59"/>
      <c r="U88" s="59"/>
      <c r="V88" s="59"/>
      <c r="W88" s="59"/>
      <c r="X88" s="59"/>
      <c r="Y88" s="59"/>
      <c r="AC88" s="263"/>
      <c r="AD88" s="338"/>
    </row>
    <row r="89" spans="1:30" s="53" customFormat="1" ht="12">
      <c r="A89" s="44"/>
      <c r="B89" s="70"/>
      <c r="C89" s="78" t="s">
        <v>425</v>
      </c>
      <c r="D89" s="253">
        <f>+D86-D87-D88</f>
        <v>5.9830927281646424</v>
      </c>
      <c r="E89" s="217"/>
      <c r="F89" s="233">
        <f t="shared" ref="F89:AC89" si="19">$D89*F73</f>
        <v>0</v>
      </c>
      <c r="G89" s="233">
        <f t="shared" si="19"/>
        <v>52539.956284386244</v>
      </c>
      <c r="H89" s="233">
        <f t="shared" si="19"/>
        <v>106753.08793262987</v>
      </c>
      <c r="I89" s="233">
        <f t="shared" si="19"/>
        <v>108426.26329648719</v>
      </c>
      <c r="J89" s="233">
        <f t="shared" si="19"/>
        <v>110099.43866034455</v>
      </c>
      <c r="K89" s="233">
        <f t="shared" si="19"/>
        <v>111772.61402420184</v>
      </c>
      <c r="L89" s="233">
        <f t="shared" si="19"/>
        <v>113445.78938805923</v>
      </c>
      <c r="M89" s="233">
        <f t="shared" si="19"/>
        <v>115118.96475191654</v>
      </c>
      <c r="N89" s="233">
        <f t="shared" si="19"/>
        <v>117196.07125990166</v>
      </c>
      <c r="O89" s="233">
        <f t="shared" si="19"/>
        <v>119273.17776788674</v>
      </c>
      <c r="P89" s="233">
        <f t="shared" si="19"/>
        <v>121350.28427587185</v>
      </c>
      <c r="Q89" s="233">
        <f t="shared" si="19"/>
        <v>123427.39078385696</v>
      </c>
      <c r="R89" s="233">
        <f t="shared" si="19"/>
        <v>125504.49729184205</v>
      </c>
      <c r="S89" s="233">
        <f t="shared" si="19"/>
        <v>127581.60379982715</v>
      </c>
      <c r="T89" s="233">
        <f t="shared" si="19"/>
        <v>129658.71030781225</v>
      </c>
      <c r="U89" s="233">
        <f t="shared" si="19"/>
        <v>131735.81681579736</v>
      </c>
      <c r="V89" s="233">
        <f t="shared" si="19"/>
        <v>133812.92332378245</v>
      </c>
      <c r="W89" s="233">
        <f t="shared" si="19"/>
        <v>135890.02983176755</v>
      </c>
      <c r="X89" s="233">
        <f t="shared" si="19"/>
        <v>138341.91201393525</v>
      </c>
      <c r="Y89" s="233">
        <f t="shared" si="19"/>
        <v>140793.79419610294</v>
      </c>
      <c r="Z89" s="233">
        <f t="shared" si="19"/>
        <v>143245.67637827064</v>
      </c>
      <c r="AA89" s="233">
        <f t="shared" si="19"/>
        <v>145697.55856043831</v>
      </c>
      <c r="AB89" s="233">
        <f t="shared" si="19"/>
        <v>148149.44074260604</v>
      </c>
      <c r="AC89" s="266">
        <f t="shared" si="19"/>
        <v>150601.32292477376</v>
      </c>
      <c r="AD89" s="348">
        <f t="shared" si="6"/>
        <v>2850416.3246124978</v>
      </c>
    </row>
    <row r="90" spans="1:30" s="53" customFormat="1" ht="12">
      <c r="A90" s="44"/>
      <c r="C90" s="62" t="s">
        <v>414</v>
      </c>
      <c r="D90" s="210"/>
      <c r="E90" s="217"/>
      <c r="F90" s="285">
        <f>F89</f>
        <v>0</v>
      </c>
      <c r="G90" s="285">
        <f t="shared" ref="G90:AC90" si="20">G89</f>
        <v>52539.956284386244</v>
      </c>
      <c r="H90" s="285">
        <f t="shared" si="20"/>
        <v>106753.08793262987</v>
      </c>
      <c r="I90" s="285">
        <f t="shared" si="20"/>
        <v>108426.26329648719</v>
      </c>
      <c r="J90" s="285">
        <f t="shared" si="20"/>
        <v>110099.43866034455</v>
      </c>
      <c r="K90" s="285">
        <f t="shared" si="20"/>
        <v>111772.61402420184</v>
      </c>
      <c r="L90" s="285">
        <f t="shared" si="20"/>
        <v>113445.78938805923</v>
      </c>
      <c r="M90" s="285">
        <f t="shared" si="20"/>
        <v>115118.96475191654</v>
      </c>
      <c r="N90" s="285">
        <f t="shared" si="20"/>
        <v>117196.07125990166</v>
      </c>
      <c r="O90" s="285">
        <f t="shared" si="20"/>
        <v>119273.17776788674</v>
      </c>
      <c r="P90" s="285">
        <f t="shared" si="20"/>
        <v>121350.28427587185</v>
      </c>
      <c r="Q90" s="285">
        <f t="shared" si="20"/>
        <v>123427.39078385696</v>
      </c>
      <c r="R90" s="285">
        <f t="shared" si="20"/>
        <v>125504.49729184205</v>
      </c>
      <c r="S90" s="285">
        <f t="shared" si="20"/>
        <v>127581.60379982715</v>
      </c>
      <c r="T90" s="285">
        <f t="shared" si="20"/>
        <v>129658.71030781225</v>
      </c>
      <c r="U90" s="285">
        <f t="shared" si="20"/>
        <v>131735.81681579736</v>
      </c>
      <c r="V90" s="285">
        <f t="shared" si="20"/>
        <v>133812.92332378245</v>
      </c>
      <c r="W90" s="285">
        <f t="shared" si="20"/>
        <v>135890.02983176755</v>
      </c>
      <c r="X90" s="285">
        <f t="shared" si="20"/>
        <v>138341.91201393525</v>
      </c>
      <c r="Y90" s="285">
        <f t="shared" si="20"/>
        <v>140793.79419610294</v>
      </c>
      <c r="Z90" s="285">
        <f t="shared" si="20"/>
        <v>143245.67637827064</v>
      </c>
      <c r="AA90" s="285">
        <f t="shared" si="20"/>
        <v>145697.55856043831</v>
      </c>
      <c r="AB90" s="285">
        <f t="shared" si="20"/>
        <v>148149.44074260604</v>
      </c>
      <c r="AC90" s="286">
        <f t="shared" si="20"/>
        <v>150601.32292477376</v>
      </c>
      <c r="AD90" s="348">
        <f t="shared" si="6"/>
        <v>2850416.3246124978</v>
      </c>
    </row>
    <row r="91" spans="1:30" s="53" customFormat="1" ht="12">
      <c r="A91" s="44"/>
      <c r="B91" s="70"/>
      <c r="D91" s="210"/>
      <c r="E91" s="217"/>
      <c r="F91" s="45"/>
      <c r="G91" s="59"/>
      <c r="H91" s="59"/>
      <c r="I91" s="59"/>
      <c r="J91" s="59"/>
      <c r="K91" s="59"/>
      <c r="L91" s="59"/>
      <c r="M91" s="59"/>
      <c r="N91" s="59"/>
      <c r="O91" s="59"/>
      <c r="P91" s="59"/>
      <c r="Q91" s="59"/>
      <c r="R91" s="59"/>
      <c r="S91" s="59"/>
      <c r="T91" s="59"/>
      <c r="U91" s="59"/>
      <c r="V91" s="59"/>
      <c r="W91" s="59"/>
      <c r="X91" s="59"/>
      <c r="Y91" s="59"/>
      <c r="AC91" s="263"/>
      <c r="AD91" s="338"/>
    </row>
    <row r="92" spans="1:30" s="53" customFormat="1" ht="12">
      <c r="A92" s="64" t="s">
        <v>343</v>
      </c>
      <c r="B92" s="64"/>
      <c r="D92" s="209"/>
      <c r="E92" s="217"/>
      <c r="F92" s="45"/>
      <c r="G92" s="57"/>
      <c r="AC92" s="263"/>
      <c r="AD92" s="338"/>
    </row>
    <row r="93" spans="1:30" s="53" customFormat="1" ht="12">
      <c r="A93" s="45"/>
      <c r="B93" s="45"/>
      <c r="C93" s="64" t="s">
        <v>94</v>
      </c>
      <c r="D93" s="209"/>
      <c r="E93" s="217"/>
      <c r="F93" s="45"/>
      <c r="G93" s="57"/>
      <c r="AC93" s="263"/>
      <c r="AD93" s="338"/>
    </row>
    <row r="94" spans="1:30" s="53" customFormat="1" ht="12">
      <c r="A94" s="45"/>
      <c r="B94" s="45"/>
      <c r="C94" s="55" t="s">
        <v>484</v>
      </c>
      <c r="D94" s="259">
        <v>0.5</v>
      </c>
      <c r="E94" s="217"/>
      <c r="F94" s="45"/>
      <c r="G94" s="57"/>
      <c r="AC94" s="263"/>
      <c r="AD94" s="338"/>
    </row>
    <row r="95" spans="1:30" s="53" customFormat="1" ht="12">
      <c r="A95" s="45"/>
      <c r="B95" s="45"/>
      <c r="C95" s="78"/>
      <c r="D95" s="209"/>
      <c r="E95" s="217"/>
      <c r="F95" s="45"/>
      <c r="G95" s="57"/>
      <c r="AC95" s="263"/>
      <c r="AD95" s="338"/>
    </row>
    <row r="96" spans="1:30" s="53" customFormat="1" ht="12">
      <c r="A96" s="44"/>
      <c r="B96" s="5" t="s">
        <v>351</v>
      </c>
      <c r="C96" s="78" t="s">
        <v>402</v>
      </c>
      <c r="D96" s="253"/>
      <c r="E96" s="217"/>
      <c r="F96" s="45">
        <f>F12</f>
        <v>0</v>
      </c>
      <c r="G96" s="45">
        <f t="shared" ref="G96:AC96" si="21">G12</f>
        <v>12992.683889696678</v>
      </c>
      <c r="H96" s="45">
        <f t="shared" si="21"/>
        <v>26399.129802280437</v>
      </c>
      <c r="I96" s="45">
        <f t="shared" si="21"/>
        <v>26812.89182516752</v>
      </c>
      <c r="J96" s="45">
        <f t="shared" si="21"/>
        <v>27226.653848054611</v>
      </c>
      <c r="K96" s="45">
        <f t="shared" si="21"/>
        <v>27640.415870941688</v>
      </c>
      <c r="L96" s="45">
        <f t="shared" si="21"/>
        <v>28054.177893828775</v>
      </c>
      <c r="M96" s="45">
        <f t="shared" si="21"/>
        <v>28467.939916715855</v>
      </c>
      <c r="N96" s="45">
        <f t="shared" si="21"/>
        <v>28981.590672673985</v>
      </c>
      <c r="O96" s="45">
        <f t="shared" si="21"/>
        <v>29495.241428632115</v>
      </c>
      <c r="P96" s="45">
        <f t="shared" si="21"/>
        <v>30008.892184590248</v>
      </c>
      <c r="Q96" s="45">
        <f t="shared" si="21"/>
        <v>30522.542940548374</v>
      </c>
      <c r="R96" s="45">
        <f t="shared" si="21"/>
        <v>31036.193696506507</v>
      </c>
      <c r="S96" s="45">
        <f t="shared" si="21"/>
        <v>31549.844452464637</v>
      </c>
      <c r="T96" s="45">
        <f t="shared" si="21"/>
        <v>32063.49520842277</v>
      </c>
      <c r="U96" s="45">
        <f t="shared" si="21"/>
        <v>32577.145964380899</v>
      </c>
      <c r="V96" s="45">
        <f t="shared" si="21"/>
        <v>33090.796720339029</v>
      </c>
      <c r="W96" s="45">
        <f t="shared" si="21"/>
        <v>33604.447476297159</v>
      </c>
      <c r="X96" s="45">
        <f t="shared" si="21"/>
        <v>34210.777065824273</v>
      </c>
      <c r="Y96" s="45">
        <f t="shared" si="21"/>
        <v>34817.106655351396</v>
      </c>
      <c r="Z96" s="45">
        <f t="shared" si="21"/>
        <v>35423.43624487851</v>
      </c>
      <c r="AA96" s="45">
        <f t="shared" si="21"/>
        <v>36029.765834405625</v>
      </c>
      <c r="AB96" s="45">
        <f t="shared" si="21"/>
        <v>36636.09542393274</v>
      </c>
      <c r="AC96" s="263">
        <f t="shared" si="21"/>
        <v>37242.42501345987</v>
      </c>
      <c r="AD96" s="338">
        <f t="shared" ref="AD96:AD105" si="22">SUM(F96:AC96)</f>
        <v>704883.69002939377</v>
      </c>
    </row>
    <row r="97" spans="1:30" s="53" customFormat="1" ht="12">
      <c r="A97" s="44"/>
      <c r="B97" s="5"/>
      <c r="C97" s="78" t="s">
        <v>401</v>
      </c>
      <c r="D97" s="253"/>
      <c r="E97" s="217"/>
      <c r="F97" s="255">
        <f>$D$94*F55</f>
        <v>-2.7399869947017055</v>
      </c>
      <c r="G97" s="255">
        <f t="shared" ref="G97:AC97" si="23">$D$94*G55</f>
        <v>-2.7333973188679828</v>
      </c>
      <c r="H97" s="255">
        <f t="shared" si="23"/>
        <v>-2.7267623235960232</v>
      </c>
      <c r="I97" s="255">
        <f t="shared" si="23"/>
        <v>-2.7200815397568996</v>
      </c>
      <c r="J97" s="255">
        <f t="shared" si="23"/>
        <v>-2.7133544917242824</v>
      </c>
      <c r="K97" s="255">
        <f t="shared" si="23"/>
        <v>-2.7065806972615634</v>
      </c>
      <c r="L97" s="255">
        <f t="shared" si="23"/>
        <v>-2.699759667406616</v>
      </c>
      <c r="M97" s="255">
        <f t="shared" si="23"/>
        <v>-2.6928909063541395</v>
      </c>
      <c r="N97" s="255">
        <f t="shared" si="23"/>
        <v>-2.6859739113355241</v>
      </c>
      <c r="O97" s="255">
        <f t="shared" si="23"/>
        <v>-2.6790081724961747</v>
      </c>
      <c r="P97" s="255">
        <f t="shared" si="23"/>
        <v>-2.6719931727702315</v>
      </c>
      <c r="Q97" s="255">
        <f t="shared" si="23"/>
        <v>-2.6649283877526266</v>
      </c>
      <c r="R97" s="255">
        <f t="shared" si="23"/>
        <v>-2.6578132855684031</v>
      </c>
      <c r="S97" s="255">
        <f t="shared" si="23"/>
        <v>-2.6506473267392354</v>
      </c>
      <c r="T97" s="255">
        <f t="shared" si="23"/>
        <v>-2.643429964047074</v>
      </c>
      <c r="U97" s="255">
        <f t="shared" si="23"/>
        <v>-2.636160642394846</v>
      </c>
      <c r="V97" s="255">
        <f t="shared" si="23"/>
        <v>-2.6288387986641406</v>
      </c>
      <c r="W97" s="255">
        <f t="shared" si="23"/>
        <v>-2.6214638615697905</v>
      </c>
      <c r="X97" s="255">
        <f t="shared" si="23"/>
        <v>-2.6140352515112846</v>
      </c>
      <c r="Y97" s="255">
        <f t="shared" si="23"/>
        <v>-2.6065523804209234</v>
      </c>
      <c r="Z97" s="255">
        <f t="shared" si="23"/>
        <v>-2.599014651608635</v>
      </c>
      <c r="AA97" s="255">
        <f t="shared" si="23"/>
        <v>-2.591421459603362</v>
      </c>
      <c r="AB97" s="255">
        <f t="shared" si="23"/>
        <v>-2.5837721899909405</v>
      </c>
      <c r="AC97" s="268">
        <f t="shared" si="23"/>
        <v>-2.5760662192483688</v>
      </c>
      <c r="AD97" s="346">
        <f t="shared" si="22"/>
        <v>-63.843933615390767</v>
      </c>
    </row>
    <row r="98" spans="1:30" s="53" customFormat="1" ht="12">
      <c r="A98" s="44"/>
      <c r="C98" s="299" t="s">
        <v>155</v>
      </c>
      <c r="D98" s="253"/>
      <c r="E98" s="217"/>
      <c r="F98" s="255">
        <f>F97*F96</f>
        <v>0</v>
      </c>
      <c r="G98" s="255">
        <f t="shared" ref="G98:AC98" si="24">G97*G96</f>
        <v>-35514.167308996133</v>
      </c>
      <c r="H98" s="255">
        <f t="shared" si="24"/>
        <v>-71984.152520579228</v>
      </c>
      <c r="I98" s="255">
        <f t="shared" si="24"/>
        <v>-72933.252081136859</v>
      </c>
      <c r="J98" s="255">
        <f t="shared" si="24"/>
        <v>-73875.563513241199</v>
      </c>
      <c r="K98" s="255">
        <f t="shared" si="24"/>
        <v>-74811.016060572932</v>
      </c>
      <c r="L98" s="255">
        <f t="shared" si="24"/>
        <v>-75739.53798000922</v>
      </c>
      <c r="M98" s="255">
        <f t="shared" si="24"/>
        <v>-76661.056524360145</v>
      </c>
      <c r="N98" s="255">
        <f t="shared" si="24"/>
        <v>-77843.796455807285</v>
      </c>
      <c r="O98" s="255">
        <f t="shared" si="24"/>
        <v>-79017.992837053185</v>
      </c>
      <c r="P98" s="255">
        <f t="shared" si="24"/>
        <v>-80183.555039623097</v>
      </c>
      <c r="Q98" s="255">
        <f t="shared" si="24"/>
        <v>-81340.391148665891</v>
      </c>
      <c r="R98" s="255">
        <f t="shared" si="24"/>
        <v>-82488.407940049321</v>
      </c>
      <c r="S98" s="255">
        <f t="shared" si="24"/>
        <v>-83627.510856964087</v>
      </c>
      <c r="T98" s="255">
        <f t="shared" si="24"/>
        <v>-84757.603986024536</v>
      </c>
      <c r="U98" s="255">
        <f t="shared" si="24"/>
        <v>-85878.590032853012</v>
      </c>
      <c r="V98" s="255">
        <f t="shared" si="24"/>
        <v>-86990.370297135334</v>
      </c>
      <c r="W98" s="255">
        <f t="shared" si="24"/>
        <v>-88092.844647133155</v>
      </c>
      <c r="X98" s="255">
        <f t="shared" si="24"/>
        <v>-89428.177231658439</v>
      </c>
      <c r="Y98" s="255">
        <f t="shared" si="24"/>
        <v>-90752.612231875362</v>
      </c>
      <c r="Z98" s="255">
        <f t="shared" si="24"/>
        <v>-92066.029810763619</v>
      </c>
      <c r="AA98" s="255">
        <f t="shared" si="24"/>
        <v>-93368.308367762773</v>
      </c>
      <c r="AB98" s="255">
        <f t="shared" si="24"/>
        <v>-94659.324506211764</v>
      </c>
      <c r="AC98" s="268">
        <f t="shared" si="24"/>
        <v>-95938.953000064444</v>
      </c>
      <c r="AD98" s="346">
        <f t="shared" si="22"/>
        <v>-1867953.2143785409</v>
      </c>
    </row>
    <row r="99" spans="1:30" s="53" customFormat="1" ht="12">
      <c r="A99" s="44"/>
      <c r="B99" s="70"/>
      <c r="C99" s="78" t="s">
        <v>475</v>
      </c>
      <c r="D99" s="253">
        <f>$D$94*(D63)</f>
        <v>3.0165463640823211</v>
      </c>
      <c r="E99" s="217"/>
      <c r="F99" s="255">
        <f>$D99*F96</f>
        <v>0</v>
      </c>
      <c r="G99" s="255">
        <f t="shared" ref="G99:AC99" si="25">$D99*G96</f>
        <v>39193.033347135468</v>
      </c>
      <c r="H99" s="255">
        <f t="shared" si="25"/>
        <v>79634.199020006301</v>
      </c>
      <c r="I99" s="255">
        <f t="shared" si="25"/>
        <v>80882.331345741681</v>
      </c>
      <c r="J99" s="255">
        <f t="shared" si="25"/>
        <v>82130.463671477075</v>
      </c>
      <c r="K99" s="255">
        <f t="shared" si="25"/>
        <v>83378.595997212426</v>
      </c>
      <c r="L99" s="255">
        <f t="shared" si="25"/>
        <v>84626.72832294782</v>
      </c>
      <c r="M99" s="255">
        <f t="shared" si="25"/>
        <v>85874.860648683185</v>
      </c>
      <c r="N99" s="255">
        <f t="shared" si="25"/>
        <v>87424.311968976821</v>
      </c>
      <c r="O99" s="255">
        <f t="shared" si="25"/>
        <v>88973.763289270457</v>
      </c>
      <c r="P99" s="255">
        <f t="shared" si="25"/>
        <v>90523.214609564093</v>
      </c>
      <c r="Q99" s="255">
        <f t="shared" si="25"/>
        <v>92072.665929857714</v>
      </c>
      <c r="R99" s="255">
        <f t="shared" si="25"/>
        <v>93622.117250151365</v>
      </c>
      <c r="S99" s="255">
        <f t="shared" si="25"/>
        <v>95171.568570444986</v>
      </c>
      <c r="T99" s="255">
        <f t="shared" si="25"/>
        <v>96721.019890738637</v>
      </c>
      <c r="U99" s="255">
        <f t="shared" si="25"/>
        <v>98270.471211032258</v>
      </c>
      <c r="V99" s="255">
        <f t="shared" si="25"/>
        <v>99819.922531325894</v>
      </c>
      <c r="W99" s="255">
        <f t="shared" si="25"/>
        <v>101369.37385161953</v>
      </c>
      <c r="X99" s="255">
        <f t="shared" si="25"/>
        <v>103198.39517034306</v>
      </c>
      <c r="Y99" s="255">
        <f t="shared" si="25"/>
        <v>105027.41648906664</v>
      </c>
      <c r="Z99" s="255">
        <f t="shared" si="25"/>
        <v>106856.43780779018</v>
      </c>
      <c r="AA99" s="255">
        <f t="shared" si="25"/>
        <v>108685.45912651373</v>
      </c>
      <c r="AB99" s="255">
        <f t="shared" si="25"/>
        <v>110514.48044523728</v>
      </c>
      <c r="AC99" s="268">
        <f t="shared" si="25"/>
        <v>112343.50176396086</v>
      </c>
      <c r="AD99" s="346">
        <f t="shared" si="22"/>
        <v>2126314.3322590976</v>
      </c>
    </row>
    <row r="100" spans="1:30" s="53" customFormat="1" ht="12">
      <c r="A100" s="45"/>
      <c r="B100" s="45"/>
      <c r="C100" s="78"/>
      <c r="D100" s="253"/>
      <c r="E100" s="217"/>
      <c r="F100" s="255"/>
      <c r="G100" s="255"/>
      <c r="H100" s="255"/>
      <c r="I100" s="255"/>
      <c r="J100" s="255"/>
      <c r="K100" s="255"/>
      <c r="L100" s="255"/>
      <c r="M100" s="255"/>
      <c r="N100" s="255"/>
      <c r="O100" s="255"/>
      <c r="P100" s="255"/>
      <c r="Q100" s="255"/>
      <c r="R100" s="255"/>
      <c r="S100" s="255"/>
      <c r="T100" s="255"/>
      <c r="U100" s="255"/>
      <c r="V100" s="255"/>
      <c r="W100" s="255"/>
      <c r="X100" s="255"/>
      <c r="Y100" s="255"/>
      <c r="Z100" s="255"/>
      <c r="AA100" s="255"/>
      <c r="AB100" s="255"/>
      <c r="AC100" s="268"/>
      <c r="AD100" s="346"/>
    </row>
    <row r="101" spans="1:30" s="53" customFormat="1" ht="12">
      <c r="A101" s="45"/>
      <c r="B101" s="5" t="s">
        <v>261</v>
      </c>
      <c r="C101" s="78"/>
      <c r="D101" s="253"/>
      <c r="E101" s="217"/>
      <c r="F101" s="255"/>
      <c r="G101" s="255"/>
      <c r="H101" s="255"/>
      <c r="I101" s="255"/>
      <c r="J101" s="255"/>
      <c r="K101" s="255"/>
      <c r="L101" s="255"/>
      <c r="M101" s="255"/>
      <c r="N101" s="255"/>
      <c r="O101" s="255"/>
      <c r="P101" s="255"/>
      <c r="Q101" s="255"/>
      <c r="R101" s="255"/>
      <c r="S101" s="255"/>
      <c r="T101" s="255"/>
      <c r="U101" s="255"/>
      <c r="V101" s="255"/>
      <c r="W101" s="255"/>
      <c r="X101" s="255"/>
      <c r="Y101" s="255"/>
      <c r="Z101" s="255"/>
      <c r="AA101" s="255"/>
      <c r="AB101" s="255"/>
      <c r="AC101" s="268"/>
      <c r="AD101" s="346"/>
    </row>
    <row r="102" spans="1:30" s="53" customFormat="1" ht="12">
      <c r="A102" s="44"/>
      <c r="B102" s="5"/>
      <c r="C102" s="78" t="s">
        <v>411</v>
      </c>
      <c r="D102" s="253"/>
      <c r="E102" s="217"/>
      <c r="F102" s="45">
        <f>F17</f>
        <v>0</v>
      </c>
      <c r="G102" s="45">
        <f t="shared" ref="G102:AC102" si="26">G17</f>
        <v>8781.4043123652646</v>
      </c>
      <c r="H102" s="45">
        <f t="shared" si="26"/>
        <v>17842.459206775016</v>
      </c>
      <c r="I102" s="45">
        <f t="shared" si="26"/>
        <v>18122.109788819493</v>
      </c>
      <c r="J102" s="45">
        <f t="shared" si="26"/>
        <v>18401.760370863976</v>
      </c>
      <c r="K102" s="45">
        <f t="shared" si="26"/>
        <v>18681.410952908449</v>
      </c>
      <c r="L102" s="45">
        <f t="shared" si="26"/>
        <v>18961.061534952936</v>
      </c>
      <c r="M102" s="45">
        <f t="shared" si="26"/>
        <v>19240.712116997413</v>
      </c>
      <c r="N102" s="45">
        <f t="shared" si="26"/>
        <v>19587.874797296081</v>
      </c>
      <c r="O102" s="45">
        <f t="shared" si="26"/>
        <v>19935.037477594746</v>
      </c>
      <c r="P102" s="45">
        <f t="shared" si="26"/>
        <v>20282.200157893414</v>
      </c>
      <c r="Q102" s="45">
        <f t="shared" si="26"/>
        <v>20629.362838192083</v>
      </c>
      <c r="R102" s="45">
        <f t="shared" si="26"/>
        <v>20976.525518490747</v>
      </c>
      <c r="S102" s="45">
        <f t="shared" si="26"/>
        <v>21323.688198789416</v>
      </c>
      <c r="T102" s="45">
        <f t="shared" si="26"/>
        <v>21670.850879088081</v>
      </c>
      <c r="U102" s="45">
        <f t="shared" si="26"/>
        <v>22018.013559386749</v>
      </c>
      <c r="V102" s="45">
        <f t="shared" si="26"/>
        <v>22365.176239685414</v>
      </c>
      <c r="W102" s="45">
        <f t="shared" si="26"/>
        <v>22712.338919984082</v>
      </c>
      <c r="X102" s="45">
        <f t="shared" si="26"/>
        <v>23122.140722089833</v>
      </c>
      <c r="Y102" s="45">
        <f t="shared" si="26"/>
        <v>23531.942524195587</v>
      </c>
      <c r="Z102" s="45">
        <f t="shared" si="26"/>
        <v>23941.744326301341</v>
      </c>
      <c r="AA102" s="45">
        <f t="shared" si="26"/>
        <v>24351.546128407092</v>
      </c>
      <c r="AB102" s="45">
        <f t="shared" si="26"/>
        <v>24761.347930512849</v>
      </c>
      <c r="AC102" s="263">
        <f t="shared" si="26"/>
        <v>25171.149732618607</v>
      </c>
      <c r="AD102" s="338">
        <f t="shared" si="22"/>
        <v>476411.85823420866</v>
      </c>
    </row>
    <row r="103" spans="1:30" s="53" customFormat="1" ht="12">
      <c r="A103" s="44"/>
      <c r="B103" s="5"/>
      <c r="C103" s="78" t="s">
        <v>427</v>
      </c>
      <c r="D103" s="253"/>
      <c r="E103" s="217"/>
      <c r="F103" s="255">
        <f>F81*$D$94</f>
        <v>-1.0579557447017054</v>
      </c>
      <c r="G103" s="255">
        <f t="shared" ref="G103:AC103" si="27">G81*$D$94</f>
        <v>-1.0513660688679827</v>
      </c>
      <c r="H103" s="255">
        <f t="shared" si="27"/>
        <v>-1.0447310735960231</v>
      </c>
      <c r="I103" s="255">
        <f t="shared" si="27"/>
        <v>-1.0380502897568995</v>
      </c>
      <c r="J103" s="255">
        <f t="shared" si="27"/>
        <v>-1.0313232417242824</v>
      </c>
      <c r="K103" s="255">
        <f t="shared" si="27"/>
        <v>-1.0245494472615633</v>
      </c>
      <c r="L103" s="255">
        <f t="shared" si="27"/>
        <v>-1.0177284174066159</v>
      </c>
      <c r="M103" s="255">
        <f t="shared" si="27"/>
        <v>-1.0108596563541394</v>
      </c>
      <c r="N103" s="255">
        <f t="shared" si="27"/>
        <v>-1.003942661335524</v>
      </c>
      <c r="O103" s="255">
        <f t="shared" si="27"/>
        <v>-0.99697692249617464</v>
      </c>
      <c r="P103" s="255">
        <f t="shared" si="27"/>
        <v>-0.98996192277023143</v>
      </c>
      <c r="Q103" s="255">
        <f t="shared" si="27"/>
        <v>-0.98289713775262655</v>
      </c>
      <c r="R103" s="255">
        <f t="shared" si="27"/>
        <v>-0.97578203556840304</v>
      </c>
      <c r="S103" s="255">
        <f t="shared" si="27"/>
        <v>-0.96861607673923533</v>
      </c>
      <c r="T103" s="255">
        <f t="shared" si="27"/>
        <v>-0.96139871404707389</v>
      </c>
      <c r="U103" s="255">
        <f t="shared" si="27"/>
        <v>-0.95412939239484595</v>
      </c>
      <c r="V103" s="255">
        <f t="shared" si="27"/>
        <v>-0.94680754866414052</v>
      </c>
      <c r="W103" s="255">
        <f t="shared" si="27"/>
        <v>-0.93943261156979041</v>
      </c>
      <c r="X103" s="255">
        <f t="shared" si="27"/>
        <v>-0.93200400151128449</v>
      </c>
      <c r="Y103" s="255">
        <f t="shared" si="27"/>
        <v>-0.92452113042092332</v>
      </c>
      <c r="Z103" s="255">
        <f t="shared" si="27"/>
        <v>-0.9169834016086349</v>
      </c>
      <c r="AA103" s="255">
        <f t="shared" si="27"/>
        <v>-0.90939020960336192</v>
      </c>
      <c r="AB103" s="255">
        <f t="shared" si="27"/>
        <v>-0.9017409399909404</v>
      </c>
      <c r="AC103" s="268">
        <f t="shared" si="27"/>
        <v>-0.89403496924836867</v>
      </c>
      <c r="AD103" s="346">
        <f t="shared" si="22"/>
        <v>-23.475183615390776</v>
      </c>
    </row>
    <row r="104" spans="1:30" s="53" customFormat="1" ht="12">
      <c r="A104" s="44"/>
      <c r="B104" s="5"/>
      <c r="C104" s="299" t="s">
        <v>155</v>
      </c>
      <c r="D104" s="253"/>
      <c r="E104" s="217"/>
      <c r="F104" s="255">
        <f>F103*F102</f>
        <v>0</v>
      </c>
      <c r="G104" s="255">
        <f t="shared" ref="G104:AC104" si="28">G103*G102</f>
        <v>-9232.4705310318186</v>
      </c>
      <c r="H104" s="255">
        <f t="shared" si="28"/>
        <v>-18640.57156268731</v>
      </c>
      <c r="I104" s="255">
        <f t="shared" si="28"/>
        <v>-18811.661317290418</v>
      </c>
      <c r="J104" s="255">
        <f t="shared" si="28"/>
        <v>-18978.163159112868</v>
      </c>
      <c r="K104" s="255">
        <f t="shared" si="28"/>
        <v>-19140.029265868467</v>
      </c>
      <c r="L104" s="255">
        <f t="shared" si="28"/>
        <v>-19297.21114831711</v>
      </c>
      <c r="M104" s="255">
        <f t="shared" si="28"/>
        <v>-19449.659638596931</v>
      </c>
      <c r="N104" s="255">
        <f t="shared" si="28"/>
        <v>-19665.103153904467</v>
      </c>
      <c r="O104" s="255">
        <f t="shared" si="28"/>
        <v>-19874.772314258313</v>
      </c>
      <c r="P104" s="255">
        <f t="shared" si="28"/>
        <v>-20078.605866318856</v>
      </c>
      <c r="Q104" s="255">
        <f t="shared" si="28"/>
        <v>-20276.541687319397</v>
      </c>
      <c r="R104" s="255">
        <f t="shared" si="28"/>
        <v>-20468.516769585451</v>
      </c>
      <c r="S104" s="255">
        <f t="shared" si="28"/>
        <v>-20654.467204722136</v>
      </c>
      <c r="T104" s="255">
        <f t="shared" si="28"/>
        <v>-20834.328167461183</v>
      </c>
      <c r="U104" s="255">
        <f t="shared" si="28"/>
        <v>-21008.03389915916</v>
      </c>
      <c r="V104" s="255">
        <f t="shared" si="28"/>
        <v>-21175.517690938028</v>
      </c>
      <c r="W104" s="255">
        <f t="shared" si="28"/>
        <v>-21336.711866458838</v>
      </c>
      <c r="X104" s="255">
        <f t="shared" si="28"/>
        <v>-21549.927676494746</v>
      </c>
      <c r="Y104" s="255">
        <f t="shared" si="28"/>
        <v>-21755.7781034695</v>
      </c>
      <c r="Z104" s="255">
        <f t="shared" si="28"/>
        <v>-21954.18215277604</v>
      </c>
      <c r="AA104" s="255">
        <f t="shared" si="28"/>
        <v>-22145.057637878061</v>
      </c>
      <c r="AB104" s="255">
        <f t="shared" si="28"/>
        <v>-22328.321158303384</v>
      </c>
      <c r="AC104" s="268">
        <f t="shared" si="28"/>
        <v>-22503.88807714776</v>
      </c>
      <c r="AD104" s="346">
        <f t="shared" si="22"/>
        <v>-461159.52004910028</v>
      </c>
    </row>
    <row r="105" spans="1:30" s="53" customFormat="1" ht="12">
      <c r="A105" s="44"/>
      <c r="B105" s="5"/>
      <c r="C105" s="78" t="s">
        <v>428</v>
      </c>
      <c r="D105" s="253">
        <f>D89</f>
        <v>5.9830927281646424</v>
      </c>
      <c r="E105" s="217"/>
      <c r="F105" s="255">
        <f>$D105*F102</f>
        <v>0</v>
      </c>
      <c r="G105" s="255">
        <f t="shared" ref="G105:AC105" si="29">$D105*G102</f>
        <v>52539.956284386244</v>
      </c>
      <c r="H105" s="255">
        <f t="shared" si="29"/>
        <v>106753.08793262987</v>
      </c>
      <c r="I105" s="255">
        <f t="shared" si="29"/>
        <v>108426.26329648719</v>
      </c>
      <c r="J105" s="255">
        <f t="shared" si="29"/>
        <v>110099.43866034455</v>
      </c>
      <c r="K105" s="255">
        <f t="shared" si="29"/>
        <v>111772.61402420184</v>
      </c>
      <c r="L105" s="255">
        <f t="shared" si="29"/>
        <v>113445.78938805923</v>
      </c>
      <c r="M105" s="255">
        <f t="shared" si="29"/>
        <v>115118.96475191654</v>
      </c>
      <c r="N105" s="255">
        <f t="shared" si="29"/>
        <v>117196.07125990166</v>
      </c>
      <c r="O105" s="255">
        <f t="shared" si="29"/>
        <v>119273.17776788674</v>
      </c>
      <c r="P105" s="255">
        <f t="shared" si="29"/>
        <v>121350.28427587185</v>
      </c>
      <c r="Q105" s="255">
        <f t="shared" si="29"/>
        <v>123427.39078385696</v>
      </c>
      <c r="R105" s="255">
        <f t="shared" si="29"/>
        <v>125504.49729184205</v>
      </c>
      <c r="S105" s="255">
        <f t="shared" si="29"/>
        <v>127581.60379982715</v>
      </c>
      <c r="T105" s="255">
        <f t="shared" si="29"/>
        <v>129658.71030781225</v>
      </c>
      <c r="U105" s="255">
        <f t="shared" si="29"/>
        <v>131735.81681579736</v>
      </c>
      <c r="V105" s="255">
        <f t="shared" si="29"/>
        <v>133812.92332378245</v>
      </c>
      <c r="W105" s="255">
        <f t="shared" si="29"/>
        <v>135890.02983176755</v>
      </c>
      <c r="X105" s="255">
        <f t="shared" si="29"/>
        <v>138341.91201393525</v>
      </c>
      <c r="Y105" s="255">
        <f t="shared" si="29"/>
        <v>140793.79419610294</v>
      </c>
      <c r="Z105" s="255">
        <f t="shared" si="29"/>
        <v>143245.67637827064</v>
      </c>
      <c r="AA105" s="255">
        <f t="shared" si="29"/>
        <v>145697.55856043831</v>
      </c>
      <c r="AB105" s="255">
        <f t="shared" si="29"/>
        <v>148149.44074260604</v>
      </c>
      <c r="AC105" s="268">
        <f t="shared" si="29"/>
        <v>150601.32292477376</v>
      </c>
      <c r="AD105" s="346">
        <f t="shared" si="22"/>
        <v>2850416.3246124978</v>
      </c>
    </row>
    <row r="106" spans="1:30" s="53" customFormat="1" ht="12">
      <c r="A106" s="45"/>
      <c r="B106" s="5"/>
      <c r="C106" s="78"/>
      <c r="D106" s="253"/>
      <c r="E106" s="217"/>
      <c r="F106" s="45"/>
      <c r="G106" s="57"/>
      <c r="AC106" s="263"/>
      <c r="AD106" s="338"/>
    </row>
    <row r="107" spans="1:30" s="53" customFormat="1" ht="12">
      <c r="A107" s="45"/>
      <c r="B107" s="55"/>
      <c r="C107" s="5" t="s">
        <v>487</v>
      </c>
      <c r="D107" s="253"/>
      <c r="E107" s="220"/>
      <c r="F107" s="83">
        <f>F98+F99+F104+F105</f>
        <v>0</v>
      </c>
      <c r="G107" s="83">
        <f t="shared" ref="G107:AC107" si="30">G98+G99+G104+G105</f>
        <v>46986.351791493762</v>
      </c>
      <c r="H107" s="83">
        <f t="shared" si="30"/>
        <v>95762.562869369634</v>
      </c>
      <c r="I107" s="83">
        <f t="shared" si="30"/>
        <v>97563.681243801591</v>
      </c>
      <c r="J107" s="83">
        <f t="shared" si="30"/>
        <v>99376.175659467553</v>
      </c>
      <c r="K107" s="83">
        <f t="shared" si="30"/>
        <v>101200.16469497287</v>
      </c>
      <c r="L107" s="83">
        <f t="shared" si="30"/>
        <v>103035.76858268073</v>
      </c>
      <c r="M107" s="83">
        <f t="shared" si="30"/>
        <v>104883.10923764265</v>
      </c>
      <c r="N107" s="83">
        <f t="shared" si="30"/>
        <v>107111.48361916673</v>
      </c>
      <c r="O107" s="83">
        <f t="shared" si="30"/>
        <v>109354.1759058457</v>
      </c>
      <c r="P107" s="83">
        <f t="shared" si="30"/>
        <v>111611.33797949398</v>
      </c>
      <c r="Q107" s="83">
        <f t="shared" si="30"/>
        <v>113883.12387772938</v>
      </c>
      <c r="R107" s="83">
        <f t="shared" si="30"/>
        <v>116169.68983235865</v>
      </c>
      <c r="S107" s="83">
        <f t="shared" si="30"/>
        <v>118471.19430858591</v>
      </c>
      <c r="T107" s="83">
        <f t="shared" si="30"/>
        <v>120787.79804506517</v>
      </c>
      <c r="U107" s="83">
        <f t="shared" si="30"/>
        <v>123119.66409481745</v>
      </c>
      <c r="V107" s="83">
        <f t="shared" si="30"/>
        <v>125466.95786703499</v>
      </c>
      <c r="W107" s="83">
        <f t="shared" si="30"/>
        <v>127829.84716979509</v>
      </c>
      <c r="X107" s="83">
        <f t="shared" si="30"/>
        <v>130562.20227612513</v>
      </c>
      <c r="Y107" s="83">
        <f t="shared" si="30"/>
        <v>133312.82034982473</v>
      </c>
      <c r="Z107" s="83">
        <f t="shared" si="30"/>
        <v>136081.90222252117</v>
      </c>
      <c r="AA107" s="83">
        <f t="shared" si="30"/>
        <v>138869.6516813112</v>
      </c>
      <c r="AB107" s="83">
        <f t="shared" si="30"/>
        <v>141676.27552332816</v>
      </c>
      <c r="AC107" s="272">
        <f t="shared" si="30"/>
        <v>144501.98361152242</v>
      </c>
      <c r="AD107" s="355">
        <f t="shared" ref="AD107:AD176" si="31">SUM(F107:AC107)</f>
        <v>2647617.9224439543</v>
      </c>
    </row>
    <row r="108" spans="1:30" s="53" customFormat="1" ht="12">
      <c r="A108" s="45"/>
      <c r="B108" s="45"/>
      <c r="D108" s="209"/>
      <c r="E108" s="217"/>
      <c r="F108" s="45"/>
      <c r="G108" s="57"/>
      <c r="AC108" s="263"/>
      <c r="AD108" s="338"/>
    </row>
    <row r="109" spans="1:30" s="53" customFormat="1" ht="12">
      <c r="A109" s="45"/>
      <c r="B109" s="5" t="s">
        <v>507</v>
      </c>
      <c r="C109" s="5"/>
      <c r="D109" s="209"/>
      <c r="E109" s="217"/>
      <c r="G109" s="57"/>
      <c r="AC109" s="263"/>
      <c r="AD109" s="338"/>
    </row>
    <row r="110" spans="1:30" s="53" customFormat="1" ht="12">
      <c r="A110" s="45"/>
      <c r="B110" s="55" t="s">
        <v>508</v>
      </c>
      <c r="C110" s="225" t="s">
        <v>509</v>
      </c>
      <c r="D110" s="287">
        <v>5.3999999999999999E-2</v>
      </c>
      <c r="E110" s="217"/>
      <c r="G110" s="57"/>
      <c r="AC110" s="263"/>
      <c r="AD110" s="338"/>
    </row>
    <row r="111" spans="1:30" s="53" customFormat="1" ht="12">
      <c r="A111" s="45"/>
      <c r="C111" s="70" t="s">
        <v>505</v>
      </c>
      <c r="D111" s="209"/>
      <c r="E111" s="217"/>
      <c r="F111" s="255">
        <f>-F23*$D$110</f>
        <v>0</v>
      </c>
      <c r="G111" s="255">
        <f t="shared" ref="G111:AC111" si="32">-G23*$D$110</f>
        <v>5362.488936281974</v>
      </c>
      <c r="H111" s="255">
        <f t="shared" si="32"/>
        <v>10895.750461878246</v>
      </c>
      <c r="I111" s="255">
        <f t="shared" si="32"/>
        <v>11066.523051192542</v>
      </c>
      <c r="J111" s="255">
        <f t="shared" si="32"/>
        <v>11237.29564050684</v>
      </c>
      <c r="K111" s="255">
        <f t="shared" si="32"/>
        <v>11408.068229821132</v>
      </c>
      <c r="L111" s="255">
        <f t="shared" si="32"/>
        <v>11578.840819135432</v>
      </c>
      <c r="M111" s="255">
        <f t="shared" si="32"/>
        <v>11749.613408449724</v>
      </c>
      <c r="N111" s="255">
        <f t="shared" si="32"/>
        <v>11961.613216905209</v>
      </c>
      <c r="O111" s="255">
        <f t="shared" si="32"/>
        <v>12173.613025360692</v>
      </c>
      <c r="P111" s="255">
        <f t="shared" si="32"/>
        <v>12385.612833816176</v>
      </c>
      <c r="Q111" s="255">
        <f t="shared" si="32"/>
        <v>12597.612642271659</v>
      </c>
      <c r="R111" s="255">
        <f t="shared" si="32"/>
        <v>12809.612450727143</v>
      </c>
      <c r="S111" s="255">
        <f t="shared" si="32"/>
        <v>13021.612259182628</v>
      </c>
      <c r="T111" s="255">
        <f t="shared" si="32"/>
        <v>13233.612067638112</v>
      </c>
      <c r="U111" s="255">
        <f t="shared" si="32"/>
        <v>13445.611876093597</v>
      </c>
      <c r="V111" s="255">
        <f t="shared" si="32"/>
        <v>13657.61168454908</v>
      </c>
      <c r="W111" s="255">
        <f t="shared" si="32"/>
        <v>13869.611493004564</v>
      </c>
      <c r="X111" s="255">
        <f t="shared" si="32"/>
        <v>14119.862768505691</v>
      </c>
      <c r="Y111" s="255">
        <f t="shared" si="32"/>
        <v>14370.114044006819</v>
      </c>
      <c r="Z111" s="255">
        <f t="shared" si="32"/>
        <v>14620.365319507948</v>
      </c>
      <c r="AA111" s="255">
        <f t="shared" si="32"/>
        <v>14870.616595009076</v>
      </c>
      <c r="AB111" s="255">
        <f t="shared" si="32"/>
        <v>15120.867870510207</v>
      </c>
      <c r="AC111" s="268">
        <f t="shared" si="32"/>
        <v>15371.119146011337</v>
      </c>
      <c r="AD111" s="346">
        <f t="shared" si="31"/>
        <v>290927.64984036592</v>
      </c>
    </row>
    <row r="112" spans="1:30" s="53" customFormat="1" ht="12">
      <c r="A112" s="45"/>
      <c r="B112" s="45"/>
      <c r="C112" s="225" t="s">
        <v>514</v>
      </c>
      <c r="D112" s="532">
        <v>-4.2</v>
      </c>
      <c r="E112" s="217"/>
      <c r="G112" s="57"/>
      <c r="AC112" s="263"/>
      <c r="AD112" s="338"/>
    </row>
    <row r="113" spans="1:30" s="53" customFormat="1" ht="12">
      <c r="A113" s="45"/>
      <c r="B113" s="45"/>
      <c r="C113" s="224" t="s">
        <v>384</v>
      </c>
      <c r="D113" s="253">
        <f>'Mode Operating Assumptions'!C21</f>
        <v>12.5</v>
      </c>
      <c r="E113" s="217"/>
      <c r="G113" s="57"/>
      <c r="AC113" s="263"/>
      <c r="AD113" s="338"/>
    </row>
    <row r="114" spans="1:30" s="53" customFormat="1" ht="12">
      <c r="A114" s="45"/>
      <c r="B114" s="45"/>
      <c r="C114" s="70" t="s">
        <v>562</v>
      </c>
      <c r="D114" s="209"/>
      <c r="E114" s="217"/>
      <c r="F114" s="288">
        <f>($D$112/3600)*$D$113*F30</f>
        <v>0</v>
      </c>
      <c r="G114" s="288">
        <f t="shared" ref="G114:AC114" si="33">($D$112/3600)*$D$113*G30</f>
        <v>-199673.07656799105</v>
      </c>
      <c r="H114" s="288">
        <f t="shared" si="33"/>
        <v>-400821.01751254225</v>
      </c>
      <c r="I114" s="288">
        <f t="shared" si="33"/>
        <v>-402301.93278053968</v>
      </c>
      <c r="J114" s="288">
        <f t="shared" si="33"/>
        <v>-403788.92507949111</v>
      </c>
      <c r="K114" s="288">
        <f t="shared" si="33"/>
        <v>-405282.02066477487</v>
      </c>
      <c r="L114" s="288">
        <f t="shared" si="33"/>
        <v>-406781.24590814952</v>
      </c>
      <c r="M114" s="288">
        <f t="shared" si="33"/>
        <v>-407821.35127653391</v>
      </c>
      <c r="N114" s="288">
        <f t="shared" si="33"/>
        <v>-408631.88573860901</v>
      </c>
      <c r="O114" s="288">
        <f t="shared" si="33"/>
        <v>-409444.6862101272</v>
      </c>
      <c r="P114" s="288">
        <f t="shared" si="33"/>
        <v>-410259.75913126027</v>
      </c>
      <c r="Q114" s="288">
        <f t="shared" si="33"/>
        <v>-411077.11096050555</v>
      </c>
      <c r="R114" s="288">
        <f t="shared" si="33"/>
        <v>-411896.74817473738</v>
      </c>
      <c r="S114" s="288">
        <f t="shared" si="33"/>
        <v>-412718.67726926017</v>
      </c>
      <c r="T114" s="288">
        <f t="shared" si="33"/>
        <v>-413542.90475786058</v>
      </c>
      <c r="U114" s="288">
        <f t="shared" si="33"/>
        <v>-414369.43717285973</v>
      </c>
      <c r="V114" s="288">
        <f t="shared" si="33"/>
        <v>-415198.28106516658</v>
      </c>
      <c r="W114" s="288">
        <f t="shared" si="33"/>
        <v>-415926.69589728449</v>
      </c>
      <c r="X114" s="288">
        <f t="shared" si="33"/>
        <v>-416862.13494341611</v>
      </c>
      <c r="Y114" s="288">
        <f t="shared" si="33"/>
        <v>-417697.15812459093</v>
      </c>
      <c r="Z114" s="288">
        <f t="shared" si="33"/>
        <v>-418534.51917364402</v>
      </c>
      <c r="AA114" s="288">
        <f t="shared" si="33"/>
        <v>-419374.22473521798</v>
      </c>
      <c r="AB114" s="288">
        <f t="shared" si="33"/>
        <v>-420216.28147286305</v>
      </c>
      <c r="AC114" s="387">
        <f t="shared" si="33"/>
        <v>-421060.69606909022</v>
      </c>
      <c r="AD114" s="356">
        <f t="shared" si="31"/>
        <v>-9263280.7706865165</v>
      </c>
    </row>
    <row r="115" spans="1:30" s="53" customFormat="1" ht="12">
      <c r="A115" s="45"/>
      <c r="B115" s="55" t="s">
        <v>388</v>
      </c>
      <c r="C115" s="225" t="s">
        <v>515</v>
      </c>
      <c r="D115" s="209">
        <v>2</v>
      </c>
      <c r="E115" s="217"/>
      <c r="G115" s="57"/>
      <c r="AC115" s="263"/>
      <c r="AD115" s="338"/>
    </row>
    <row r="116" spans="1:30" s="53" customFormat="1" ht="12">
      <c r="A116" s="45"/>
      <c r="B116" s="45"/>
      <c r="C116" s="224" t="s">
        <v>384</v>
      </c>
      <c r="D116" s="253">
        <f>'Mode Operating Assumptions'!C30</f>
        <v>12.5</v>
      </c>
      <c r="E116" s="217"/>
      <c r="F116" s="45"/>
      <c r="G116" s="57"/>
      <c r="AC116" s="263"/>
      <c r="AD116" s="338"/>
    </row>
    <row r="117" spans="1:30" s="53" customFormat="1" ht="12">
      <c r="A117" s="45"/>
      <c r="B117" s="45"/>
      <c r="C117" s="224" t="s">
        <v>521</v>
      </c>
      <c r="D117" s="322">
        <f>'Mode Operating Assumptions'!C45</f>
        <v>8.4250000000000002E-3</v>
      </c>
      <c r="E117" s="217"/>
      <c r="F117" s="45"/>
      <c r="G117" s="57"/>
      <c r="AC117" s="263"/>
      <c r="AD117" s="338"/>
    </row>
    <row r="118" spans="1:30" s="53" customFormat="1" ht="12">
      <c r="A118" s="45"/>
      <c r="B118" s="45"/>
      <c r="C118" s="70" t="s">
        <v>516</v>
      </c>
      <c r="D118" s="209"/>
      <c r="E118" s="217"/>
      <c r="F118" s="255">
        <f>-(($D$115/3600*$D$116)+$D$117)*F28</f>
        <v>-104888.96677430671</v>
      </c>
      <c r="G118" s="255">
        <f>-(($D$115/3600*$D$116)+$D$117)*G28</f>
        <v>-210553.81145534813</v>
      </c>
      <c r="H118" s="255"/>
      <c r="I118" s="255"/>
      <c r="J118" s="45"/>
      <c r="AC118" s="263"/>
      <c r="AD118" s="356">
        <f t="shared" si="31"/>
        <v>-315442.77822965482</v>
      </c>
    </row>
    <row r="119" spans="1:30" s="53" customFormat="1" ht="12">
      <c r="A119" s="45"/>
      <c r="B119" s="45"/>
      <c r="C119" s="5"/>
      <c r="D119" s="209"/>
      <c r="E119" s="217"/>
      <c r="F119" s="45"/>
      <c r="G119" s="57"/>
      <c r="AC119" s="263"/>
      <c r="AD119" s="338"/>
    </row>
    <row r="120" spans="1:30" s="53" customFormat="1" ht="12">
      <c r="A120" s="45"/>
      <c r="B120" s="45"/>
      <c r="C120" s="5" t="s">
        <v>517</v>
      </c>
      <c r="D120" s="209"/>
      <c r="E120" s="217"/>
      <c r="F120" s="289">
        <f>F111+F114+F118</f>
        <v>-104888.96677430671</v>
      </c>
      <c r="G120" s="289">
        <f t="shared" ref="G120:AC120" si="34">G111+G114+G118</f>
        <v>-404864.39908705722</v>
      </c>
      <c r="H120" s="289">
        <f t="shared" si="34"/>
        <v>-389925.267050664</v>
      </c>
      <c r="I120" s="289">
        <f t="shared" si="34"/>
        <v>-391235.40972934716</v>
      </c>
      <c r="J120" s="289">
        <f t="shared" si="34"/>
        <v>-392551.62943898427</v>
      </c>
      <c r="K120" s="289">
        <f t="shared" si="34"/>
        <v>-393873.95243495377</v>
      </c>
      <c r="L120" s="289">
        <f t="shared" si="34"/>
        <v>-395202.40508901409</v>
      </c>
      <c r="M120" s="289">
        <f t="shared" si="34"/>
        <v>-396071.73786808416</v>
      </c>
      <c r="N120" s="289">
        <f t="shared" si="34"/>
        <v>-396670.2725217038</v>
      </c>
      <c r="O120" s="289">
        <f t="shared" si="34"/>
        <v>-397271.07318476652</v>
      </c>
      <c r="P120" s="289">
        <f t="shared" si="34"/>
        <v>-397874.14629744412</v>
      </c>
      <c r="Q120" s="289">
        <f t="shared" si="34"/>
        <v>-398479.49831823388</v>
      </c>
      <c r="R120" s="289">
        <f t="shared" si="34"/>
        <v>-399087.13572401024</v>
      </c>
      <c r="S120" s="289">
        <f t="shared" si="34"/>
        <v>-399697.06501007755</v>
      </c>
      <c r="T120" s="289">
        <f t="shared" si="34"/>
        <v>-400309.29269022244</v>
      </c>
      <c r="U120" s="289">
        <f t="shared" si="34"/>
        <v>-400923.82529676612</v>
      </c>
      <c r="V120" s="289">
        <f t="shared" si="34"/>
        <v>-401540.6693806175</v>
      </c>
      <c r="W120" s="289">
        <f t="shared" si="34"/>
        <v>-402057.08440427994</v>
      </c>
      <c r="X120" s="289">
        <f t="shared" si="34"/>
        <v>-402742.27217491041</v>
      </c>
      <c r="Y120" s="289">
        <f t="shared" si="34"/>
        <v>-403327.04408058414</v>
      </c>
      <c r="Z120" s="289">
        <f t="shared" si="34"/>
        <v>-403914.15385413606</v>
      </c>
      <c r="AA120" s="289">
        <f t="shared" si="34"/>
        <v>-404503.60814020893</v>
      </c>
      <c r="AB120" s="289">
        <f t="shared" si="34"/>
        <v>-405095.41360235284</v>
      </c>
      <c r="AC120" s="318">
        <f t="shared" si="34"/>
        <v>-405689.57692307886</v>
      </c>
      <c r="AD120" s="347">
        <f t="shared" si="31"/>
        <v>-9287795.8990758024</v>
      </c>
    </row>
    <row r="121" spans="1:30" s="53" customFormat="1" ht="12">
      <c r="A121" s="45"/>
      <c r="B121" s="45"/>
      <c r="C121" s="5"/>
      <c r="D121" s="209"/>
      <c r="E121" s="217"/>
      <c r="F121" s="45"/>
      <c r="G121" s="57"/>
      <c r="AC121" s="263"/>
      <c r="AD121" s="338"/>
    </row>
    <row r="122" spans="1:30" s="53" customFormat="1" ht="12">
      <c r="A122" s="45"/>
      <c r="B122" s="55" t="s">
        <v>501</v>
      </c>
      <c r="C122" s="5"/>
      <c r="D122" s="209"/>
      <c r="E122" s="217"/>
      <c r="F122" s="233">
        <f>F24</f>
        <v>0</v>
      </c>
      <c r="G122" s="233">
        <f t="shared" ref="G122:AC122" si="35">G24</f>
        <v>17499.876456310885</v>
      </c>
      <c r="H122" s="233">
        <f t="shared" si="35"/>
        <v>34755.699968171706</v>
      </c>
      <c r="I122" s="233">
        <f t="shared" si="35"/>
        <v>34522.405023179708</v>
      </c>
      <c r="J122" s="233">
        <f t="shared" si="35"/>
        <v>34299.1720888899</v>
      </c>
      <c r="K122" s="233">
        <f t="shared" si="35"/>
        <v>34085.363945189056</v>
      </c>
      <c r="L122" s="233">
        <f t="shared" si="35"/>
        <v>33880.396065880901</v>
      </c>
      <c r="M122" s="233">
        <f t="shared" si="35"/>
        <v>33683.731282207984</v>
      </c>
      <c r="N122" s="233">
        <f t="shared" si="35"/>
        <v>33610.718692745366</v>
      </c>
      <c r="O122" s="233">
        <f t="shared" si="35"/>
        <v>34188.299184773394</v>
      </c>
      <c r="P122" s="233">
        <f t="shared" si="35"/>
        <v>34765.268288608524</v>
      </c>
      <c r="Q122" s="233">
        <f t="shared" si="35"/>
        <v>35341.626974499384</v>
      </c>
      <c r="R122" s="233">
        <f t="shared" si="35"/>
        <v>35917.376210642709</v>
      </c>
      <c r="S122" s="233">
        <f t="shared" si="35"/>
        <v>36492.516963188733</v>
      </c>
      <c r="T122" s="233">
        <f t="shared" si="35"/>
        <v>37067.050196246608</v>
      </c>
      <c r="U122" s="233">
        <f t="shared" si="35"/>
        <v>37640.976871889798</v>
      </c>
      <c r="V122" s="233">
        <f t="shared" si="35"/>
        <v>38214.297950161425</v>
      </c>
      <c r="W122" s="233">
        <f t="shared" si="35"/>
        <v>38787.014389079675</v>
      </c>
      <c r="X122" s="233">
        <f t="shared" si="35"/>
        <v>39466.042775438968</v>
      </c>
      <c r="Y122" s="233">
        <f t="shared" si="35"/>
        <v>40144.35579520664</v>
      </c>
      <c r="Z122" s="233">
        <f t="shared" si="35"/>
        <v>40821.954578261677</v>
      </c>
      <c r="AA122" s="233">
        <f t="shared" si="35"/>
        <v>41498.840252104863</v>
      </c>
      <c r="AB122" s="233">
        <f t="shared" si="35"/>
        <v>42175.013941865065</v>
      </c>
      <c r="AC122" s="389">
        <f t="shared" si="35"/>
        <v>42850.476770305489</v>
      </c>
      <c r="AD122" s="348">
        <f t="shared" si="31"/>
        <v>831708.47466484853</v>
      </c>
    </row>
    <row r="123" spans="1:30" s="5" customFormat="1" ht="12">
      <c r="A123" s="58"/>
      <c r="B123" s="58"/>
      <c r="C123" s="5" t="s">
        <v>590</v>
      </c>
      <c r="D123" s="212"/>
      <c r="E123" s="220"/>
      <c r="F123" s="83">
        <f>F122</f>
        <v>0</v>
      </c>
      <c r="G123" s="83">
        <f t="shared" ref="G123:AC123" si="36">G122</f>
        <v>17499.876456310885</v>
      </c>
      <c r="H123" s="83">
        <f t="shared" si="36"/>
        <v>34755.699968171706</v>
      </c>
      <c r="I123" s="83">
        <f>I122</f>
        <v>34522.405023179708</v>
      </c>
      <c r="J123" s="83">
        <f t="shared" si="36"/>
        <v>34299.1720888899</v>
      </c>
      <c r="K123" s="83">
        <f t="shared" si="36"/>
        <v>34085.363945189056</v>
      </c>
      <c r="L123" s="83">
        <f t="shared" si="36"/>
        <v>33880.396065880901</v>
      </c>
      <c r="M123" s="83">
        <f t="shared" si="36"/>
        <v>33683.731282207984</v>
      </c>
      <c r="N123" s="83">
        <f t="shared" si="36"/>
        <v>33610.718692745366</v>
      </c>
      <c r="O123" s="83">
        <f t="shared" si="36"/>
        <v>34188.299184773394</v>
      </c>
      <c r="P123" s="83">
        <f t="shared" si="36"/>
        <v>34765.268288608524</v>
      </c>
      <c r="Q123" s="83">
        <f t="shared" si="36"/>
        <v>35341.626974499384</v>
      </c>
      <c r="R123" s="83">
        <f t="shared" si="36"/>
        <v>35917.376210642709</v>
      </c>
      <c r="S123" s="83">
        <f t="shared" si="36"/>
        <v>36492.516963188733</v>
      </c>
      <c r="T123" s="83">
        <f t="shared" si="36"/>
        <v>37067.050196246608</v>
      </c>
      <c r="U123" s="83">
        <f t="shared" si="36"/>
        <v>37640.976871889798</v>
      </c>
      <c r="V123" s="83">
        <f t="shared" si="36"/>
        <v>38214.297950161425</v>
      </c>
      <c r="W123" s="83">
        <f t="shared" si="36"/>
        <v>38787.014389079675</v>
      </c>
      <c r="X123" s="83">
        <f t="shared" si="36"/>
        <v>39466.042775438968</v>
      </c>
      <c r="Y123" s="83">
        <f t="shared" si="36"/>
        <v>40144.35579520664</v>
      </c>
      <c r="Z123" s="83">
        <f t="shared" si="36"/>
        <v>40821.954578261677</v>
      </c>
      <c r="AA123" s="83">
        <f t="shared" si="36"/>
        <v>41498.840252104863</v>
      </c>
      <c r="AB123" s="83">
        <f t="shared" si="36"/>
        <v>42175.013941865065</v>
      </c>
      <c r="AC123" s="272">
        <f t="shared" si="36"/>
        <v>42850.476770305489</v>
      </c>
      <c r="AD123" s="355">
        <f t="shared" si="31"/>
        <v>831708.47466484853</v>
      </c>
    </row>
    <row r="124" spans="1:30" s="110" customFormat="1" ht="12">
      <c r="A124" s="107"/>
      <c r="B124" s="107"/>
      <c r="C124" s="108"/>
      <c r="D124" s="208"/>
      <c r="E124" s="216"/>
      <c r="F124" s="109"/>
      <c r="G124" s="109"/>
      <c r="H124" s="109"/>
      <c r="I124" s="109"/>
      <c r="J124" s="109"/>
      <c r="K124" s="109"/>
      <c r="L124" s="109"/>
      <c r="M124" s="109"/>
      <c r="N124" s="109"/>
      <c r="O124" s="109"/>
      <c r="P124" s="109"/>
      <c r="Q124" s="109"/>
      <c r="R124" s="109"/>
      <c r="S124" s="109"/>
      <c r="T124" s="109"/>
      <c r="U124" s="109"/>
      <c r="V124" s="109"/>
      <c r="W124" s="109"/>
      <c r="X124" s="109"/>
      <c r="Y124" s="109"/>
      <c r="Z124" s="109"/>
      <c r="AC124" s="262"/>
      <c r="AD124" s="337"/>
    </row>
    <row r="125" spans="1:30" s="53" customFormat="1" ht="12">
      <c r="A125" s="58" t="s">
        <v>344</v>
      </c>
      <c r="B125" s="58"/>
      <c r="D125" s="209"/>
      <c r="E125" s="217"/>
      <c r="F125" s="45"/>
      <c r="G125" s="57"/>
      <c r="AC125" s="263"/>
      <c r="AD125" s="338"/>
    </row>
    <row r="126" spans="1:30" s="53" customFormat="1" ht="12">
      <c r="A126" s="55"/>
      <c r="B126" s="55"/>
      <c r="D126" s="209"/>
      <c r="E126" s="217"/>
      <c r="F126" s="45"/>
      <c r="G126" s="57"/>
      <c r="AC126" s="263"/>
      <c r="AD126" s="338"/>
    </row>
    <row r="127" spans="1:30" s="53" customFormat="1" ht="12">
      <c r="A127" s="45"/>
      <c r="B127" s="45"/>
      <c r="C127" s="46" t="s">
        <v>88</v>
      </c>
      <c r="D127" s="209"/>
      <c r="E127" s="217"/>
      <c r="F127" s="45"/>
      <c r="G127" s="57"/>
      <c r="L127" s="61"/>
      <c r="AC127" s="263"/>
      <c r="AD127" s="338"/>
    </row>
    <row r="128" spans="1:30" s="53" customFormat="1" ht="12">
      <c r="A128" s="45"/>
      <c r="B128" s="45"/>
      <c r="C128" s="78" t="s">
        <v>42</v>
      </c>
      <c r="D128" s="209"/>
      <c r="E128" s="217"/>
      <c r="F128" s="45"/>
      <c r="G128" s="57"/>
      <c r="L128" s="61"/>
      <c r="AC128" s="263"/>
      <c r="AD128" s="338"/>
    </row>
    <row r="129" spans="1:30" s="53" customFormat="1" ht="12">
      <c r="A129" s="45"/>
      <c r="B129" s="45"/>
      <c r="C129" s="48" t="s">
        <v>97</v>
      </c>
      <c r="D129" s="209"/>
      <c r="E129" s="219"/>
      <c r="F129" s="71">
        <f>((('Emissions Assumptions'!D9/907185)+('Emissions Assumptions'!D11/907185))*'Forest Glen'!F36)+(('Emissions Assumptions'!D10/907185)*'Forest Glen'!F37)</f>
        <v>0</v>
      </c>
      <c r="G129" s="71">
        <f>((('Emissions Assumptions'!E9/907185)+('Emissions Assumptions'!E11/907185))*'Forest Glen'!G36)+(('Emissions Assumptions'!E10/907185)*'Forest Glen'!G37)</f>
        <v>0</v>
      </c>
      <c r="H129" s="71">
        <f>((('Emissions Assumptions'!F9/907185)+('Emissions Assumptions'!F11/907185))*'Forest Glen'!H36)+(('Emissions Assumptions'!F10/907185)*'Forest Glen'!H37)</f>
        <v>0</v>
      </c>
      <c r="I129" s="71">
        <f>((('Emissions Assumptions'!G9/907185)+('Emissions Assumptions'!G11/907185))*'Forest Glen'!I36)+(('Emissions Assumptions'!G10/907185)*'Forest Glen'!I37)</f>
        <v>0</v>
      </c>
      <c r="J129" s="71">
        <f>((('Emissions Assumptions'!H9/907185)+('Emissions Assumptions'!H11/907185))*'Forest Glen'!J36)+(('Emissions Assumptions'!H10/907185)*'Forest Glen'!J37)</f>
        <v>-7.0983206929136497E-2</v>
      </c>
      <c r="K129" s="71">
        <f>((('Emissions Assumptions'!I9/907185)+('Emissions Assumptions'!I11/907185))*'Forest Glen'!K36)+(('Emissions Assumptions'!I10/907185)*'Forest Glen'!K37)</f>
        <v>-9.1579974940534742E-2</v>
      </c>
      <c r="L129" s="71">
        <f>((('Emissions Assumptions'!J9/907185)+('Emissions Assumptions'!J11/907185))*'Forest Glen'!L36)+(('Emissions Assumptions'!J10/907185)*'Forest Glen'!L37)</f>
        <v>-8.7444191355362064E-2</v>
      </c>
      <c r="M129" s="71">
        <f>((('Emissions Assumptions'!K9/907185)+('Emissions Assumptions'!K11/907185))*'Forest Glen'!M36)+(('Emissions Assumptions'!K10/907185)*'Forest Glen'!M37)</f>
        <v>-5.556757548868678E-2</v>
      </c>
      <c r="N129" s="71">
        <f>((('Emissions Assumptions'!L9/907185)+('Emissions Assumptions'!L11/907185))*'Forest Glen'!N36)+(('Emissions Assumptions'!L10/907185)*'Forest Glen'!N37)</f>
        <v>-7.7808098296089007E-2</v>
      </c>
      <c r="O129" s="71">
        <f>((('Emissions Assumptions'!M9/907185)+('Emissions Assumptions'!M11/907185))*'Forest Glen'!O36)+(('Emissions Assumptions'!M10/907185)*'Forest Glen'!O37)</f>
        <v>-7.2423637518812423E-2</v>
      </c>
      <c r="P129" s="71">
        <f>((('Emissions Assumptions'!N9/907185)+('Emissions Assumptions'!N11/907185))*'Forest Glen'!P36)+(('Emissions Assumptions'!N10/907185)*'Forest Glen'!P37)</f>
        <v>-7.2047211969132538E-2</v>
      </c>
      <c r="Q129" s="71">
        <f>((('Emissions Assumptions'!O9/907185)+('Emissions Assumptions'!O11/907185))*'Forest Glen'!Q36)+(('Emissions Assumptions'!O10/907185)*'Forest Glen'!Q37)</f>
        <v>-7.1663381983438107E-2</v>
      </c>
      <c r="R129" s="71">
        <f>((('Emissions Assumptions'!P9/907185)+('Emissions Assumptions'!P11/907185))*'Forest Glen'!R36)+(('Emissions Assumptions'!P10/907185)*'Forest Glen'!R37)</f>
        <v>-7.1272018936838294E-2</v>
      </c>
      <c r="S129" s="71">
        <f>((('Emissions Assumptions'!Q9/907185)+('Emissions Assumptions'!Q11/907185))*'Forest Glen'!S36)+(('Emissions Assumptions'!Q10/907185)*'Forest Glen'!S37)</f>
        <v>-7.0872992329706633E-2</v>
      </c>
      <c r="T129" s="71">
        <f>((('Emissions Assumptions'!R9/907185)+('Emissions Assumptions'!R11/907185))*'Forest Glen'!T36)+(('Emissions Assumptions'!R10/907185)*'Forest Glen'!T37)</f>
        <v>-7.0466169763048814E-2</v>
      </c>
      <c r="U129" s="71">
        <f>((('Emissions Assumptions'!S9/907185)+('Emissions Assumptions'!S11/907185))*'Forest Glen'!U36)+(('Emissions Assumptions'!S10/907185)*'Forest Glen'!U37)</f>
        <v>-7.0051416913565423E-2</v>
      </c>
      <c r="V129" s="71">
        <f>((('Emissions Assumptions'!T9/907185)+('Emissions Assumptions'!T11/907185))*'Forest Glen'!V36)+(('Emissions Assumptions'!T10/907185)*'Forest Glen'!V37)</f>
        <v>-6.9628597508405499E-2</v>
      </c>
      <c r="W129" s="71">
        <f>((('Emissions Assumptions'!U9/907185)+('Emissions Assumptions'!U11/907185))*'Forest Glen'!W36)+(('Emissions Assumptions'!U10/907185)*'Forest Glen'!W37)</f>
        <v>-6.919757329960799E-2</v>
      </c>
      <c r="X129" s="71">
        <f>((('Emissions Assumptions'!V9/907185)+('Emissions Assumptions'!V11/907185))*'Forest Glen'!X36)+(('Emissions Assumptions'!V10/907185)*'Forest Glen'!X37)</f>
        <v>-6.8923660228834227E-2</v>
      </c>
      <c r="Y129" s="71">
        <f>((('Emissions Assumptions'!W9/907185)+('Emissions Assumptions'!W11/907185))*'Forest Glen'!Y36)+(('Emissions Assumptions'!W10/907185)*'Forest Glen'!Y37)</f>
        <v>-6.8473773949221495E-2</v>
      </c>
      <c r="Z129" s="71">
        <f>((('Emissions Assumptions'!X9/907185)+('Emissions Assumptions'!X11/907185))*'Forest Glen'!Z36)+(('Emissions Assumptions'!X10/907185)*'Forest Glen'!Z37)</f>
        <v>-6.8955077505620341E-2</v>
      </c>
      <c r="AA129" s="71">
        <f>((('Emissions Assumptions'!Y9/907185)+('Emissions Assumptions'!Y11/907185))*'Forest Glen'!AA36)+(('Emissions Assumptions'!Y10/907185)*'Forest Glen'!AA37)</f>
        <v>-6.9441030915227547E-2</v>
      </c>
      <c r="AB129" s="71">
        <f>((('Emissions Assumptions'!Z9/907185)+('Emissions Assumptions'!Z11/907185))*'Forest Glen'!AB36)+(('Emissions Assumptions'!Z10/907185)*'Forest Glen'!AB37)</f>
        <v>-6.993168067657525E-2</v>
      </c>
      <c r="AC129" s="388">
        <f>((('Emissions Assumptions'!AA9/907185)+('Emissions Assumptions'!AA11/907185))*'Forest Glen'!AC36)+(('Emissions Assumptions'!AA10/907185)*'Forest Glen'!AC37)</f>
        <v>-7.0427073753180858E-2</v>
      </c>
      <c r="AD129" s="357">
        <f t="shared" si="31"/>
        <v>-1.4371583442610247</v>
      </c>
    </row>
    <row r="130" spans="1:30" s="53" customFormat="1" ht="12">
      <c r="A130" s="45"/>
      <c r="B130" s="45"/>
      <c r="C130" s="48" t="s">
        <v>98</v>
      </c>
      <c r="D130" s="209"/>
      <c r="E130" s="219"/>
      <c r="F130" s="71">
        <f>(('Emissions Assumptions'!D4/907185)*F22)+(('Emissions Assumptions'!D5/907185)*F23)</f>
        <v>0</v>
      </c>
      <c r="G130" s="71">
        <f>(('Emissions Assumptions'!E4/907185)*G22)+(('Emissions Assumptions'!E5/907185)*G23)</f>
        <v>-4.5508968634697805E-2</v>
      </c>
      <c r="H130" s="71">
        <f>(('Emissions Assumptions'!F4/907185)*H22)+(('Emissions Assumptions'!F5/907185)*H23)</f>
        <v>-8.6377263189110404E-2</v>
      </c>
      <c r="I130" s="71">
        <f>(('Emissions Assumptions'!G4/907185)*I22)+(('Emissions Assumptions'!G5/907185)*I23)</f>
        <v>-8.1545689875810928E-2</v>
      </c>
      <c r="J130" s="71">
        <f>(('Emissions Assumptions'!H4/907185)*J22)+(('Emissions Assumptions'!H5/907185)*J23)</f>
        <v>-7.652321732949717E-2</v>
      </c>
      <c r="K130" s="71">
        <f>(('Emissions Assumptions'!I4/907185)*K22)+(('Emissions Assumptions'!I5/907185)*K23)</f>
        <v>-7.1309845550169115E-2</v>
      </c>
      <c r="L130" s="71">
        <f>(('Emissions Assumptions'!J4/907185)*L22)+(('Emissions Assumptions'!J5/907185)*L23)</f>
        <v>-6.5905574537826805E-2</v>
      </c>
      <c r="M130" s="71">
        <f>(('Emissions Assumptions'!K4/907185)*M22)+(('Emissions Assumptions'!K5/907185)*M23)</f>
        <v>-6.0310404292470171E-2</v>
      </c>
      <c r="N130" s="71">
        <f>(('Emissions Assumptions'!L4/907185)*N22)+(('Emissions Assumptions'!L5/907185)*N23)</f>
        <v>-5.4712909806581056E-2</v>
      </c>
      <c r="O130" s="71">
        <f>(('Emissions Assumptions'!M4/907185)*O22)+(('Emissions Assumptions'!M5/907185)*O23)</f>
        <v>-4.8878429976639784E-2</v>
      </c>
      <c r="P130" s="71">
        <f>(('Emissions Assumptions'!N4/907185)*P22)+(('Emissions Assumptions'!N5/907185)*P23)</f>
        <v>-4.8821197007989432E-2</v>
      </c>
      <c r="Q130" s="71">
        <f>(('Emissions Assumptions'!O4/907185)*Q22)+(('Emissions Assumptions'!O5/907185)*Q23)</f>
        <v>-4.8732865330473572E-2</v>
      </c>
      <c r="R130" s="71">
        <f>(('Emissions Assumptions'!P4/907185)*R22)+(('Emissions Assumptions'!P5/907185)*R23)</f>
        <v>-4.8613434944092204E-2</v>
      </c>
      <c r="S130" s="71">
        <f>(('Emissions Assumptions'!Q4/907185)*S22)+(('Emissions Assumptions'!Q5/907185)*S23)</f>
        <v>-4.8462905848845335E-2</v>
      </c>
      <c r="T130" s="71">
        <f>(('Emissions Assumptions'!R4/907185)*T22)+(('Emissions Assumptions'!R5/907185)*T23)</f>
        <v>-4.8281278044732964E-2</v>
      </c>
      <c r="U130" s="71">
        <f>(('Emissions Assumptions'!S4/907185)*U22)+(('Emissions Assumptions'!S5/907185)*U23)</f>
        <v>-4.8068551531755092E-2</v>
      </c>
      <c r="V130" s="71">
        <f>(('Emissions Assumptions'!T4/907185)*V22)+(('Emissions Assumptions'!T5/907185)*V23)</f>
        <v>-4.7824726309911698E-2</v>
      </c>
      <c r="W130" s="71">
        <f>(('Emissions Assumptions'!U4/907185)*W22)+(('Emissions Assumptions'!U5/907185)*W23)</f>
        <v>-4.7549802379202817E-2</v>
      </c>
      <c r="X130" s="71">
        <f>(('Emissions Assumptions'!V4/907185)*X22)+(('Emissions Assumptions'!V5/907185)*X23)</f>
        <v>-4.7372113340459647E-2</v>
      </c>
      <c r="Y130" s="71">
        <f>(('Emissions Assumptions'!W4/907185)*Y22)+(('Emissions Assumptions'!W5/907185)*Y23)</f>
        <v>-4.7157714402699447E-2</v>
      </c>
      <c r="Z130" s="71">
        <f>(('Emissions Assumptions'!X4/907185)*Z22)+(('Emissions Assumptions'!X5/907185)*Z23)</f>
        <v>-4.7978952017296891E-2</v>
      </c>
      <c r="AA130" s="71">
        <f>(('Emissions Assumptions'!Y4/907185)*AA22)+(('Emissions Assumptions'!Y5/907185)*AA23)</f>
        <v>-4.8800189631894343E-2</v>
      </c>
      <c r="AB130" s="71">
        <f>(('Emissions Assumptions'!Z4/907185)*AB22)+(('Emissions Assumptions'!Z5/907185)*AB23)</f>
        <v>-4.9621427246491795E-2</v>
      </c>
      <c r="AC130" s="388">
        <f>(('Emissions Assumptions'!AA4/907185)*AC22)+(('Emissions Assumptions'!AA5/907185)*AC23)</f>
        <v>-5.0442664861089254E-2</v>
      </c>
      <c r="AD130" s="357">
        <f t="shared" si="31"/>
        <v>-1.2688001260897377</v>
      </c>
    </row>
    <row r="131" spans="1:30" s="53" customFormat="1" ht="12">
      <c r="A131" s="45"/>
      <c r="B131" s="45"/>
      <c r="C131" s="48" t="s">
        <v>99</v>
      </c>
      <c r="D131" s="209"/>
      <c r="E131" s="219"/>
      <c r="F131" s="71">
        <f>(('Emissions Assumptions'!D14/907185)*F22)+(('Emissions Assumptions'!D18/907185)*F23)+(('Emissions Assumptions'!D19/907185)*F22)</f>
        <v>0</v>
      </c>
      <c r="G131" s="71">
        <f>(('Emissions Assumptions'!E14/907185)*G22)+(('Emissions Assumptions'!E18/907185)*G23)+(('Emissions Assumptions'!E19/907185)*G22)</f>
        <v>-6.5056959362124592E-2</v>
      </c>
      <c r="H131" s="71">
        <f>(('Emissions Assumptions'!F14/907185)*H22)+(('Emissions Assumptions'!F18/907185)*H23)+(('Emissions Assumptions'!F19/907185)*H22)</f>
        <v>-0.12334121931997169</v>
      </c>
      <c r="I131" s="71">
        <f>(('Emissions Assumptions'!G14/907185)*I22)+(('Emissions Assumptions'!G18/907185)*I23)+(('Emissions Assumptions'!G19/907185)*I22)</f>
        <v>-0.11629127491356823</v>
      </c>
      <c r="J131" s="71">
        <f>(('Emissions Assumptions'!H14/907185)*J22)+(('Emissions Assumptions'!H18/907185)*J23)+(('Emissions Assumptions'!H19/907185)*J22)</f>
        <v>-0.10896408550503886</v>
      </c>
      <c r="K131" s="71">
        <f>(('Emissions Assumptions'!I14/907185)*K22)+(('Emissions Assumptions'!I18/907185)*K23)+(('Emissions Assumptions'!I19/907185)*K22)</f>
        <v>-0.1013596510943835</v>
      </c>
      <c r="L131" s="71">
        <f>(('Emissions Assumptions'!J14/907185)*L22)+(('Emissions Assumptions'!J18/907185)*L23)+(('Emissions Assumptions'!J19/907185)*L22)</f>
        <v>-9.3477971681602198E-2</v>
      </c>
      <c r="M131" s="71">
        <f>(('Emissions Assumptions'!K14/907185)*M22)+(('Emissions Assumptions'!K18/907185)*M23)+(('Emissions Assumptions'!K19/907185)*M22)</f>
        <v>-8.5319047266694897E-2</v>
      </c>
      <c r="N131" s="71">
        <f>(('Emissions Assumptions'!L14/907185)*N22)+(('Emissions Assumptions'!L18/907185)*N23)+(('Emissions Assumptions'!L19/907185)*N22)</f>
        <v>-7.7148780921416887E-2</v>
      </c>
      <c r="O131" s="71">
        <f>(('Emissions Assumptions'!M14/907185)*O22)+(('Emissions Assumptions'!M18/907185)*O23)+(('Emissions Assumptions'!M19/907185)*O22)</f>
        <v>-6.8634338221011004E-2</v>
      </c>
      <c r="P131" s="71">
        <f>(('Emissions Assumptions'!N14/907185)*P22)+(('Emissions Assumptions'!N18/907185)*P23)+(('Emissions Assumptions'!N19/907185)*P22)</f>
        <v>-6.7958451212030258E-2</v>
      </c>
      <c r="Q131" s="71">
        <f>(('Emissions Assumptions'!O14/907185)*Q22)+(('Emissions Assumptions'!O18/907185)*Q23)+(('Emissions Assumptions'!O19/907185)*Q22)</f>
        <v>-6.7218509251648267E-2</v>
      </c>
      <c r="R131" s="71">
        <f>(('Emissions Assumptions'!P14/907185)*R22)+(('Emissions Assumptions'!P18/907185)*R23)+(('Emissions Assumptions'!P19/907185)*R22)</f>
        <v>-6.6414512339865076E-2</v>
      </c>
      <c r="S131" s="71">
        <f>(('Emissions Assumptions'!Q14/907185)*S22)+(('Emissions Assumptions'!Q18/907185)*S23)+(('Emissions Assumptions'!Q19/907185)*S22)</f>
        <v>-6.5546460476680696E-2</v>
      </c>
      <c r="T131" s="71">
        <f>(('Emissions Assumptions'!R14/907185)*T22)+(('Emissions Assumptions'!R18/907185)*T23)+(('Emissions Assumptions'!R19/907185)*T22)</f>
        <v>-6.4614353662095128E-2</v>
      </c>
      <c r="U131" s="71">
        <f>(('Emissions Assumptions'!S14/907185)*U22)+(('Emissions Assumptions'!S18/907185)*U23)+(('Emissions Assumptions'!S19/907185)*U22)</f>
        <v>-6.3618191896108331E-2</v>
      </c>
      <c r="V131" s="71">
        <f>(('Emissions Assumptions'!T14/907185)*V22)+(('Emissions Assumptions'!T18/907185)*V23)+(('Emissions Assumptions'!T19/907185)*V22)</f>
        <v>-6.2557975178720332E-2</v>
      </c>
      <c r="W131" s="71">
        <f>(('Emissions Assumptions'!U14/907185)*W22)+(('Emissions Assumptions'!U18/907185)*W23)+(('Emissions Assumptions'!U19/907185)*W22)</f>
        <v>-6.1433703509931152E-2</v>
      </c>
      <c r="X131" s="71">
        <f>(('Emissions Assumptions'!V14/907185)*X22)+(('Emissions Assumptions'!V18/907185)*X23)+(('Emissions Assumptions'!V19/907185)*X22)</f>
        <v>-6.0409028193516713E-2</v>
      </c>
      <c r="Y131" s="71">
        <f>(('Emissions Assumptions'!W14/907185)*Y22)+(('Emissions Assumptions'!W18/907185)*Y23)+(('Emissions Assumptions'!W19/907185)*Y22)</f>
        <v>-5.9308740387604773E-2</v>
      </c>
      <c r="Z131" s="71">
        <f>(('Emissions Assumptions'!X14/907185)*Z22)+(('Emissions Assumptions'!X18/907185)*Z23)+(('Emissions Assumptions'!X19/907185)*Z22)</f>
        <v>-6.0341584517088459E-2</v>
      </c>
      <c r="AA131" s="71">
        <f>(('Emissions Assumptions'!Y14/907185)*AA22)+(('Emissions Assumptions'!Y18/907185)*AA23)+(('Emissions Assumptions'!Y19/907185)*AA22)</f>
        <v>-6.1374428646572138E-2</v>
      </c>
      <c r="AB131" s="71">
        <f>(('Emissions Assumptions'!Z14/907185)*AB22)+(('Emissions Assumptions'!Z18/907185)*AB23)+(('Emissions Assumptions'!Z19/907185)*AB22)</f>
        <v>-6.240727277605581E-2</v>
      </c>
      <c r="AC131" s="388">
        <f>(('Emissions Assumptions'!AA14/907185)*AC22)+(('Emissions Assumptions'!AA18/907185)*AC23)+(('Emissions Assumptions'!AA19/907185)*AC22)</f>
        <v>-6.3440116905539509E-2</v>
      </c>
      <c r="AD131" s="357">
        <f t="shared" si="31"/>
        <v>-1.7262366572392684</v>
      </c>
    </row>
    <row r="132" spans="1:30" s="53" customFormat="1" ht="12">
      <c r="A132" s="45"/>
      <c r="B132" s="45"/>
      <c r="C132" s="48" t="s">
        <v>100</v>
      </c>
      <c r="D132" s="209"/>
      <c r="E132" s="219"/>
      <c r="F132" s="71">
        <f>('Emissions Assumptions'!D21/907185)*F23</f>
        <v>0</v>
      </c>
      <c r="G132" s="71">
        <f>('Emissions Assumptions'!E21/907185)*G23</f>
        <v>-48.28667794483075</v>
      </c>
      <c r="H132" s="71">
        <f>('Emissions Assumptions'!F21/907185)*H23</f>
        <v>-95.822014144806275</v>
      </c>
      <c r="I132" s="71">
        <f>('Emissions Assumptions'!G21/907185)*I23</f>
        <v>-94.998917801233247</v>
      </c>
      <c r="J132" s="71">
        <f>('Emissions Assumptions'!H21/907185)*J23</f>
        <v>-94.104066858942474</v>
      </c>
      <c r="K132" s="71">
        <f>('Emissions Assumptions'!I21/907185)*K23</f>
        <v>-93.137461317933912</v>
      </c>
      <c r="L132" s="71">
        <f>('Emissions Assumptions'!J21/907185)*L23</f>
        <v>-92.099101178207633</v>
      </c>
      <c r="M132" s="71">
        <f>('Emissions Assumptions'!K21/907185)*M23</f>
        <v>-90.988986439763522</v>
      </c>
      <c r="N132" s="71">
        <f>('Emissions Assumptions'!L21/907185)*N23</f>
        <v>-90.117719267491452</v>
      </c>
      <c r="O132" s="71">
        <f>('Emissions Assumptions'!M21/907185)*O23</f>
        <v>-89.157374795138324</v>
      </c>
      <c r="P132" s="71">
        <f>('Emissions Assumptions'!N21/907185)*P23</f>
        <v>-89.553598395658682</v>
      </c>
      <c r="Q132" s="71">
        <f>('Emissions Assumptions'!O21/907185)*Q23</f>
        <v>-89.910233816462565</v>
      </c>
      <c r="R132" s="71">
        <f>('Emissions Assumptions'!P21/907185)*R23</f>
        <v>-90.227281057549973</v>
      </c>
      <c r="S132" s="71">
        <f>('Emissions Assumptions'!Q21/907185)*S23</f>
        <v>-90.504740118920949</v>
      </c>
      <c r="T132" s="71">
        <f>('Emissions Assumptions'!R21/907185)*T23</f>
        <v>-90.742611000575437</v>
      </c>
      <c r="U132" s="71">
        <f>('Emissions Assumptions'!S21/907185)*U23</f>
        <v>-90.940893702513463</v>
      </c>
      <c r="V132" s="71">
        <f>('Emissions Assumptions'!T21/907185)*V23</f>
        <v>-91.099588224735001</v>
      </c>
      <c r="W132" s="71">
        <f>('Emissions Assumptions'!U21/907185)*W23</f>
        <v>-91.218694567240107</v>
      </c>
      <c r="X132" s="71">
        <f>('Emissions Assumptions'!V21/907185)*X23</f>
        <v>-91.546216349842211</v>
      </c>
      <c r="Y132" s="71">
        <f>('Emissions Assumptions'!W21/907185)*Y23</f>
        <v>-91.827006993671205</v>
      </c>
      <c r="Z132" s="71">
        <f>('Emissions Assumptions'!X21/907185)*Z23</f>
        <v>-93.426147094803611</v>
      </c>
      <c r="AA132" s="71">
        <f>('Emissions Assumptions'!Y21/907185)*AA23</f>
        <v>-95.025287195936016</v>
      </c>
      <c r="AB132" s="71">
        <f>('Emissions Assumptions'!Z21/907185)*AB23</f>
        <v>-96.624427297068436</v>
      </c>
      <c r="AC132" s="388">
        <f>('Emissions Assumptions'!AA21/907185)*AC23</f>
        <v>-98.223567398200856</v>
      </c>
      <c r="AD132" s="357">
        <f t="shared" si="31"/>
        <v>-2079.5826129615261</v>
      </c>
    </row>
    <row r="133" spans="1:30" s="53" customFormat="1" ht="12">
      <c r="A133" s="45"/>
      <c r="B133" s="45"/>
      <c r="C133" s="224" t="s">
        <v>647</v>
      </c>
      <c r="D133" s="209"/>
      <c r="E133" s="219"/>
      <c r="F133" s="71">
        <f>('Emissions Assumptions'!D25/907185)*F23</f>
        <v>0</v>
      </c>
      <c r="G133" s="71">
        <f>('Emissions Assumptions'!E25/907185)*G23</f>
        <v>-9.4140226720926864E-4</v>
      </c>
      <c r="H133" s="71">
        <f>('Emissions Assumptions'!F25/907185)*H23</f>
        <v>-1.91278421450141E-3</v>
      </c>
      <c r="I133" s="71">
        <f>('Emissions Assumptions'!G25/907185)*I23</f>
        <v>-1.942763894584282E-3</v>
      </c>
      <c r="J133" s="71">
        <f>('Emissions Assumptions'!H25/907185)*J23</f>
        <v>-1.9727435746671545E-3</v>
      </c>
      <c r="K133" s="71">
        <f>('Emissions Assumptions'!I25/907185)*K23</f>
        <v>-2.0260107344564219E-3</v>
      </c>
      <c r="L133" s="71">
        <f>('Emissions Assumptions'!J25/907185)*L23</f>
        <v>-2.0563390154704911E-3</v>
      </c>
      <c r="M133" s="71">
        <f>('Emissions Assumptions'!K25/907185)*M23</f>
        <v>-2.0866672964845586E-3</v>
      </c>
      <c r="N133" s="71">
        <f>('Emissions Assumptions'!L25/907185)*N23</f>
        <v>-2.1243173068965539E-3</v>
      </c>
      <c r="O133" s="71">
        <f>('Emissions Assumptions'!M25/907185)*O23</f>
        <v>-2.1619673173085487E-3</v>
      </c>
      <c r="P133" s="71">
        <f>('Emissions Assumptions'!N25/907185)*P23</f>
        <v>-2.1996173277205443E-3</v>
      </c>
      <c r="Q133" s="71">
        <f>('Emissions Assumptions'!O25/907185)*Q23</f>
        <v>-2.2372673381325391E-3</v>
      </c>
      <c r="R133" s="71">
        <f>('Emissions Assumptions'!P25/907185)*R23</f>
        <v>-2.2749173485445339E-3</v>
      </c>
      <c r="S133" s="71">
        <f>('Emissions Assumptions'!Q25/907185)*S23</f>
        <v>-2.3125673589565292E-3</v>
      </c>
      <c r="T133" s="71">
        <f>('Emissions Assumptions'!R25/907185)*T23</f>
        <v>-2.3502173693685244E-3</v>
      </c>
      <c r="U133" s="71">
        <f>('Emissions Assumptions'!S25/907185)*U23</f>
        <v>-2.3878673797805192E-3</v>
      </c>
      <c r="V133" s="71">
        <f>('Emissions Assumptions'!T25/907185)*V23</f>
        <v>-2.4255173901925144E-3</v>
      </c>
      <c r="W133" s="71">
        <f>('Emissions Assumptions'!U25/907185)*W23</f>
        <v>-2.4631674006045097E-3</v>
      </c>
      <c r="X133" s="71">
        <f>('Emissions Assumptions'!V25/907185)*X23</f>
        <v>-2.5076106630625081E-3</v>
      </c>
      <c r="Y133" s="71">
        <f>('Emissions Assumptions'!W25/907185)*Y23</f>
        <v>-2.5813878786874094E-3</v>
      </c>
      <c r="Z133" s="71">
        <f>('Emissions Assumptions'!X25/907185)*Z23</f>
        <v>-2.6263419832426266E-3</v>
      </c>
      <c r="AA133" s="71">
        <f>('Emissions Assumptions'!Y25/907185)*AA23</f>
        <v>-2.6712960877978437E-3</v>
      </c>
      <c r="AB133" s="71">
        <f>('Emissions Assumptions'!Z25/907185)*AB23</f>
        <v>-2.7162501923530609E-3</v>
      </c>
      <c r="AC133" s="388">
        <f>('Emissions Assumptions'!AA25/907185)*AC23</f>
        <v>-2.7612042969082785E-3</v>
      </c>
      <c r="AD133" s="357"/>
    </row>
    <row r="134" spans="1:30" s="53" customFormat="1" ht="12">
      <c r="A134" s="45"/>
      <c r="B134" s="45"/>
      <c r="C134" s="70" t="s">
        <v>115</v>
      </c>
      <c r="D134" s="209"/>
      <c r="E134" s="217"/>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263"/>
      <c r="AD134" s="338"/>
    </row>
    <row r="135" spans="1:30" s="53" customFormat="1" ht="12">
      <c r="A135" s="45"/>
      <c r="B135" s="45"/>
      <c r="C135" s="48" t="s">
        <v>43</v>
      </c>
      <c r="D135" s="209"/>
      <c r="E135" s="220"/>
      <c r="F135" s="56">
        <f>-(F129*'Emissions Assumptions'!D12)</f>
        <v>0</v>
      </c>
      <c r="G135" s="56">
        <f>-(G129*'Emissions Assumptions'!E12)</f>
        <v>0</v>
      </c>
      <c r="H135" s="56">
        <f>-(H129*'Emissions Assumptions'!F12)</f>
        <v>0</v>
      </c>
      <c r="I135" s="56">
        <f>-(I129*'Emissions Assumptions'!G12)</f>
        <v>0</v>
      </c>
      <c r="J135" s="56">
        <f>-(J129*'Emissions Assumptions'!H12)</f>
        <v>92.278169007877452</v>
      </c>
      <c r="K135" s="56">
        <f>-(K129*'Emissions Assumptions'!I12)</f>
        <v>119.05396742269517</v>
      </c>
      <c r="L135" s="56">
        <f>-(L129*'Emissions Assumptions'!J12)</f>
        <v>113.67744876197068</v>
      </c>
      <c r="M135" s="56">
        <f>-(M129*'Emissions Assumptions'!K12)</f>
        <v>72.237848135292808</v>
      </c>
      <c r="N135" s="56">
        <f>-(N129*'Emissions Assumptions'!L12)</f>
        <v>101.15052778491571</v>
      </c>
      <c r="O135" s="56">
        <f>-(O129*'Emissions Assumptions'!M12)</f>
        <v>94.150728774456155</v>
      </c>
      <c r="P135" s="56">
        <f>-(P129*'Emissions Assumptions'!N12)</f>
        <v>93.661375559872297</v>
      </c>
      <c r="Q135" s="56">
        <f>-(Q129*'Emissions Assumptions'!O12)</f>
        <v>93.16239657846954</v>
      </c>
      <c r="R135" s="56">
        <f>-(R129*'Emissions Assumptions'!P12)</f>
        <v>92.653624617889776</v>
      </c>
      <c r="S135" s="56">
        <f>-(S129*'Emissions Assumptions'!Q12)</f>
        <v>92.134890028618628</v>
      </c>
      <c r="T135" s="56">
        <f>-(T129*'Emissions Assumptions'!R12)</f>
        <v>91.606020691963451</v>
      </c>
      <c r="U135" s="56">
        <f>-(U129*'Emissions Assumptions'!S12)</f>
        <v>91.066841987635044</v>
      </c>
      <c r="V135" s="56">
        <f>-(V129*'Emissions Assumptions'!T12)</f>
        <v>90.517176760927143</v>
      </c>
      <c r="W135" s="56">
        <f>-(W129*'Emissions Assumptions'!U12)</f>
        <v>89.956845289490388</v>
      </c>
      <c r="X135" s="56">
        <f>-(X129*'Emissions Assumptions'!V12)</f>
        <v>89.600758297484489</v>
      </c>
      <c r="Y135" s="56">
        <f>-(Y129*'Emissions Assumptions'!W12)</f>
        <v>89.01590613398794</v>
      </c>
      <c r="Z135" s="56">
        <f>-(Z129*'Emissions Assumptions'!X12)</f>
        <v>89.641600757306449</v>
      </c>
      <c r="AA135" s="56">
        <f>-(AA129*'Emissions Assumptions'!Y12)</f>
        <v>90.273340189795817</v>
      </c>
      <c r="AB135" s="56">
        <f>-(AB129*'Emissions Assumptions'!Z12)</f>
        <v>90.911184879547832</v>
      </c>
      <c r="AC135" s="389">
        <f>-(AC129*'Emissions Assumptions'!AA12)</f>
        <v>91.555195879135113</v>
      </c>
      <c r="AD135" s="358">
        <f t="shared" si="31"/>
        <v>1868.3058475393323</v>
      </c>
    </row>
    <row r="136" spans="1:30" ht="13.5">
      <c r="A136" s="45"/>
      <c r="B136" s="45"/>
      <c r="C136" s="48" t="s">
        <v>119</v>
      </c>
      <c r="D136" s="209"/>
      <c r="E136" s="220"/>
      <c r="F136" s="56">
        <f>-(F130*'Emissions Assumptions'!D6)</f>
        <v>0</v>
      </c>
      <c r="G136" s="56">
        <f>-(G130*'Emissions Assumptions'!E6)</f>
        <v>241.19753376389838</v>
      </c>
      <c r="H136" s="56">
        <f>-(H130*'Emissions Assumptions'!F6)</f>
        <v>457.79949490228512</v>
      </c>
      <c r="I136" s="56">
        <f>-(I130*'Emissions Assumptions'!G6)</f>
        <v>432.1921563417979</v>
      </c>
      <c r="J136" s="56">
        <f>-(J130*'Emissions Assumptions'!H6)</f>
        <v>405.57305184633498</v>
      </c>
      <c r="K136" s="56">
        <f>-(K130*'Emissions Assumptions'!I6)</f>
        <v>377.9421814158963</v>
      </c>
      <c r="L136" s="56">
        <f>-(L130*'Emissions Assumptions'!J6)</f>
        <v>349.2995450504821</v>
      </c>
      <c r="M136" s="56">
        <f>-(M130*'Emissions Assumptions'!K6)</f>
        <v>319.64514275009191</v>
      </c>
      <c r="N136" s="56">
        <f>-(N130*'Emissions Assumptions'!L6)</f>
        <v>289.97842197487961</v>
      </c>
      <c r="O136" s="56">
        <f>-(O130*'Emissions Assumptions'!M6)</f>
        <v>259.05567887619088</v>
      </c>
      <c r="P136" s="56">
        <f>-(P130*'Emissions Assumptions'!N6)</f>
        <v>258.75234414234399</v>
      </c>
      <c r="Q136" s="56">
        <f>-(Q130*'Emissions Assumptions'!O6)</f>
        <v>258.28418625150994</v>
      </c>
      <c r="R136" s="56">
        <f>-(R130*'Emissions Assumptions'!P6)</f>
        <v>257.65120520368868</v>
      </c>
      <c r="S136" s="56">
        <f>-(S130*'Emissions Assumptions'!Q6)</f>
        <v>256.85340099888026</v>
      </c>
      <c r="T136" s="56">
        <f>-(T130*'Emissions Assumptions'!R6)</f>
        <v>255.89077363708472</v>
      </c>
      <c r="U136" s="56">
        <f>-(U130*'Emissions Assumptions'!S6)</f>
        <v>254.763323118302</v>
      </c>
      <c r="V136" s="56">
        <f>-(V130*'Emissions Assumptions'!T6)</f>
        <v>253.47104944253201</v>
      </c>
      <c r="W136" s="56">
        <f>-(W130*'Emissions Assumptions'!U6)</f>
        <v>252.01395260977492</v>
      </c>
      <c r="X136" s="56">
        <f>-(X130*'Emissions Assumptions'!V6)</f>
        <v>251.07220070443614</v>
      </c>
      <c r="Y136" s="56">
        <f>-(Y130*'Emissions Assumptions'!W6)</f>
        <v>249.93588633430707</v>
      </c>
      <c r="Z136" s="56">
        <f>-(Z130*'Emissions Assumptions'!X6)</f>
        <v>254.28844569167353</v>
      </c>
      <c r="AA136" s="56">
        <f>-(AA130*'Emissions Assumptions'!Y6)</f>
        <v>258.64100504904002</v>
      </c>
      <c r="AB136" s="56">
        <f>-(AB130*'Emissions Assumptions'!Z6)</f>
        <v>262.99356440640651</v>
      </c>
      <c r="AC136" s="389">
        <f>-(AC130*'Emissions Assumptions'!AA6)</f>
        <v>267.34612376377305</v>
      </c>
      <c r="AD136" s="358">
        <f t="shared" si="31"/>
        <v>6724.6406682756096</v>
      </c>
    </row>
    <row r="137" spans="1:30" ht="13.5">
      <c r="A137" s="45"/>
      <c r="B137" s="45"/>
      <c r="C137" s="48" t="s">
        <v>117</v>
      </c>
      <c r="D137" s="209"/>
      <c r="E137" s="220"/>
      <c r="F137" s="56">
        <f>-(F131*'Emissions Assumptions'!D15)</f>
        <v>0</v>
      </c>
      <c r="G137" s="56">
        <f>-(G131*'Emissions Assumptions'!E15)</f>
        <v>18866.518215016131</v>
      </c>
      <c r="H137" s="56">
        <f>-(H131*'Emissions Assumptions'!F15)</f>
        <v>35768.953602791793</v>
      </c>
      <c r="I137" s="56">
        <f>-(I131*'Emissions Assumptions'!G15)</f>
        <v>33724.469724934788</v>
      </c>
      <c r="J137" s="56">
        <f>-(J131*'Emissions Assumptions'!H15)</f>
        <v>31599.584796461269</v>
      </c>
      <c r="K137" s="56">
        <f>-(K131*'Emissions Assumptions'!I15)</f>
        <v>29394.298817371215</v>
      </c>
      <c r="L137" s="56">
        <f>-(L131*'Emissions Assumptions'!J15)</f>
        <v>27108.611787664639</v>
      </c>
      <c r="M137" s="56">
        <f>-(M131*'Emissions Assumptions'!K15)</f>
        <v>24742.523707341519</v>
      </c>
      <c r="N137" s="56">
        <f>-(N131*'Emissions Assumptions'!L15)</f>
        <v>22373.146467210896</v>
      </c>
      <c r="O137" s="56">
        <f>-(O131*'Emissions Assumptions'!M15)</f>
        <v>19903.958084093192</v>
      </c>
      <c r="P137" s="56">
        <f>-(P131*'Emissions Assumptions'!N15)</f>
        <v>19707.950851488775</v>
      </c>
      <c r="Q137" s="56">
        <f>-(Q131*'Emissions Assumptions'!O15)</f>
        <v>19493.367682977998</v>
      </c>
      <c r="R137" s="56">
        <f>-(R131*'Emissions Assumptions'!P15)</f>
        <v>19260.208578560872</v>
      </c>
      <c r="S137" s="56">
        <f>-(S131*'Emissions Assumptions'!Q15)</f>
        <v>19008.473538237402</v>
      </c>
      <c r="T137" s="56">
        <f>-(T131*'Emissions Assumptions'!R15)</f>
        <v>18738.162562007587</v>
      </c>
      <c r="U137" s="56">
        <f>-(U131*'Emissions Assumptions'!S15)</f>
        <v>18449.275649871415</v>
      </c>
      <c r="V137" s="56">
        <f>-(V131*'Emissions Assumptions'!T15)</f>
        <v>18141.812801828895</v>
      </c>
      <c r="W137" s="56">
        <f>-(W131*'Emissions Assumptions'!U15)</f>
        <v>17815.774017880034</v>
      </c>
      <c r="X137" s="56">
        <f>-(X131*'Emissions Assumptions'!V15)</f>
        <v>17518.618176119846</v>
      </c>
      <c r="Y137" s="56">
        <f>-(Y131*'Emissions Assumptions'!W15)</f>
        <v>17199.534712405384</v>
      </c>
      <c r="Z137" s="56">
        <f>-(Z131*'Emissions Assumptions'!X15)</f>
        <v>17499.059509955652</v>
      </c>
      <c r="AA137" s="56">
        <f>-(AA131*'Emissions Assumptions'!Y15)</f>
        <v>17798.58430750592</v>
      </c>
      <c r="AB137" s="56">
        <f>-(AB131*'Emissions Assumptions'!Z15)</f>
        <v>18098.109105056184</v>
      </c>
      <c r="AC137" s="389">
        <f>-(AC131*'Emissions Assumptions'!AA15)</f>
        <v>18397.633902606456</v>
      </c>
      <c r="AD137" s="358">
        <f t="shared" si="31"/>
        <v>500608.63059938798</v>
      </c>
    </row>
    <row r="138" spans="1:30" s="53" customFormat="1" ht="13.5">
      <c r="A138" s="45"/>
      <c r="B138" s="45"/>
      <c r="C138" s="48" t="s">
        <v>118</v>
      </c>
      <c r="D138" s="209"/>
      <c r="E138" s="220"/>
      <c r="F138" s="56">
        <f>-(F132*'Emissions Assumptions'!D22)</f>
        <v>0</v>
      </c>
      <c r="G138" s="56">
        <f>-(G132*'Emissions Assumptions'!E22)</f>
        <v>1081.6215859642086</v>
      </c>
      <c r="H138" s="56">
        <f>-(H132*'Emissions Assumptions'!F22)</f>
        <v>2184.7419225015833</v>
      </c>
      <c r="I138" s="56">
        <f>-(I132*'Emissions Assumptions'!G22)</f>
        <v>2213.4747847687349</v>
      </c>
      <c r="J138" s="56">
        <f>-(J132*'Emissions Assumptions'!H22)</f>
        <v>2239.6767912428309</v>
      </c>
      <c r="K138" s="56">
        <f>-(K132*'Emissions Assumptions'!I22)</f>
        <v>2263.2403100257943</v>
      </c>
      <c r="L138" s="56">
        <f>-(L132*'Emissions Assumptions'!J22)</f>
        <v>2284.0577092195495</v>
      </c>
      <c r="M138" s="56">
        <f>-(M132*'Emissions Assumptions'!K22)</f>
        <v>2302.0213569260172</v>
      </c>
      <c r="N138" s="56">
        <f>-(N132*'Emissions Assumptions'!L22)</f>
        <v>2325.0371571012797</v>
      </c>
      <c r="O138" s="56">
        <f>-(O132*'Emissions Assumptions'!M22)</f>
        <v>2344.8389571121379</v>
      </c>
      <c r="P138" s="56">
        <f>-(P132*'Emissions Assumptions'!N22)</f>
        <v>2417.9471566827842</v>
      </c>
      <c r="Q138" s="56">
        <f>-(Q132*'Emissions Assumptions'!O22)</f>
        <v>2481.5224533343671</v>
      </c>
      <c r="R138" s="56">
        <f>-(R132*'Emissions Assumptions'!P22)</f>
        <v>2553.4320539286641</v>
      </c>
      <c r="S138" s="56">
        <f>-(S132*'Emissions Assumptions'!Q22)</f>
        <v>2615.5869894368152</v>
      </c>
      <c r="T138" s="56">
        <f>-(T132*'Emissions Assumptions'!R22)</f>
        <v>2685.9812856170329</v>
      </c>
      <c r="U138" s="56">
        <f>-(U132*'Emissions Assumptions'!S22)</f>
        <v>2746.4149898159067</v>
      </c>
      <c r="V138" s="56">
        <f>-(V132*'Emissions Assumptions'!T22)</f>
        <v>2814.9772761443114</v>
      </c>
      <c r="W138" s="56">
        <f>-(W132*'Emissions Assumptions'!U22)</f>
        <v>2873.3888788680633</v>
      </c>
      <c r="X138" s="56">
        <f>-(X132*'Emissions Assumptions'!V22)</f>
        <v>2938.6335448299351</v>
      </c>
      <c r="Y138" s="56">
        <f>-(Y132*'Emissions Assumptions'!W22)</f>
        <v>3011.9258293924154</v>
      </c>
      <c r="Z138" s="56">
        <f>-(Z132*'Emissions Assumptions'!X22)</f>
        <v>3120.4333129664406</v>
      </c>
      <c r="AA138" s="56">
        <f>-(AA132*'Emissions Assumptions'!Y22)</f>
        <v>3240.3622933814181</v>
      </c>
      <c r="AB138" s="56">
        <f>-(AB132*'Emissions Assumptions'!Z22)</f>
        <v>3352.8676272082748</v>
      </c>
      <c r="AC138" s="389">
        <f>-(AC132*'Emissions Assumptions'!AA22)</f>
        <v>3477.1142858963103</v>
      </c>
      <c r="AD138" s="358">
        <f t="shared" si="31"/>
        <v>59569.298552364868</v>
      </c>
    </row>
    <row r="139" spans="1:30" s="53" customFormat="1" ht="12">
      <c r="A139" s="45"/>
      <c r="B139" s="45"/>
      <c r="C139" s="224" t="s">
        <v>645</v>
      </c>
      <c r="D139" s="209"/>
      <c r="E139" s="220"/>
      <c r="F139" s="56">
        <f>-(F133*'Emissions Assumptions'!D26)</f>
        <v>0</v>
      </c>
      <c r="G139" s="56">
        <f>-(G133*'Emissions Assumptions'!E26)</f>
        <v>29.183470283487328</v>
      </c>
      <c r="H139" s="56">
        <f>-(H133*'Emissions Assumptions'!F26)</f>
        <v>59.296310649543706</v>
      </c>
      <c r="I139" s="56">
        <f>-(I133*'Emissions Assumptions'!G26)</f>
        <v>60.225680732112743</v>
      </c>
      <c r="J139" s="56">
        <f>-(J133*'Emissions Assumptions'!H26)</f>
        <v>61.155050814681786</v>
      </c>
      <c r="K139" s="56">
        <f>-(K133*'Emissions Assumptions'!I26)</f>
        <v>62.806332768149076</v>
      </c>
      <c r="L139" s="56">
        <f>-(L133*'Emissions Assumptions'!J26)</f>
        <v>63.746509479585228</v>
      </c>
      <c r="M139" s="56">
        <f>-(M133*'Emissions Assumptions'!K26)</f>
        <v>64.686686191021323</v>
      </c>
      <c r="N139" s="56">
        <f>-(N133*'Emissions Assumptions'!L26)</f>
        <v>65.853836513793169</v>
      </c>
      <c r="O139" s="56">
        <f>-(O133*'Emissions Assumptions'!M26)</f>
        <v>67.020986836565015</v>
      </c>
      <c r="P139" s="56">
        <f>-(P133*'Emissions Assumptions'!N26)</f>
        <v>68.188137159336875</v>
      </c>
      <c r="Q139" s="56">
        <f>-(Q133*'Emissions Assumptions'!O26)</f>
        <v>69.355287482108707</v>
      </c>
      <c r="R139" s="56">
        <f>-(R133*'Emissions Assumptions'!P26)</f>
        <v>70.522437804880553</v>
      </c>
      <c r="S139" s="56">
        <f>-(S133*'Emissions Assumptions'!Q26)</f>
        <v>71.689588127652399</v>
      </c>
      <c r="T139" s="56">
        <f>-(T133*'Emissions Assumptions'!R26)</f>
        <v>72.85673845042426</v>
      </c>
      <c r="U139" s="56">
        <f>-(U133*'Emissions Assumptions'!S26)</f>
        <v>74.023888773196092</v>
      </c>
      <c r="V139" s="56">
        <f>-(V133*'Emissions Assumptions'!T26)</f>
        <v>75.191039095967952</v>
      </c>
      <c r="W139" s="56">
        <f>-(W133*'Emissions Assumptions'!U26)</f>
        <v>76.358189418739798</v>
      </c>
      <c r="X139" s="56">
        <f>-(X133*'Emissions Assumptions'!V26)</f>
        <v>77.735930554937752</v>
      </c>
      <c r="Y139" s="56">
        <f>-(Y133*'Emissions Assumptions'!W26)</f>
        <v>80.023024239309692</v>
      </c>
      <c r="Z139" s="56">
        <f>-(Z133*'Emissions Assumptions'!X26)</f>
        <v>81.416601480521422</v>
      </c>
      <c r="AA139" s="56">
        <f>-(AA133*'Emissions Assumptions'!Y26)</f>
        <v>82.810178721733152</v>
      </c>
      <c r="AB139" s="56">
        <f>-(AB133*'Emissions Assumptions'!Z26)</f>
        <v>84.203755962944882</v>
      </c>
      <c r="AC139" s="389">
        <f>-(AC133*'Emissions Assumptions'!AA26)</f>
        <v>85.597333204156641</v>
      </c>
      <c r="AD139" s="358">
        <f t="shared" si="31"/>
        <v>1603.9469947448495</v>
      </c>
    </row>
    <row r="140" spans="1:30" s="5" customFormat="1" ht="12">
      <c r="A140" s="58"/>
      <c r="B140" s="58"/>
      <c r="C140" s="62" t="s">
        <v>591</v>
      </c>
      <c r="D140" s="212"/>
      <c r="E140" s="220"/>
      <c r="F140" s="83">
        <f>SUM(F135:F139)</f>
        <v>0</v>
      </c>
      <c r="G140" s="83">
        <f t="shared" ref="G140:AC140" si="37">SUM(G135:G139)</f>
        <v>20218.520805027722</v>
      </c>
      <c r="H140" s="83">
        <f t="shared" si="37"/>
        <v>38470.791330845204</v>
      </c>
      <c r="I140" s="83">
        <f t="shared" si="37"/>
        <v>36430.362346777431</v>
      </c>
      <c r="J140" s="83">
        <f t="shared" si="37"/>
        <v>34398.267859372994</v>
      </c>
      <c r="K140" s="83">
        <f t="shared" si="37"/>
        <v>32217.34160900375</v>
      </c>
      <c r="L140" s="83">
        <f t="shared" si="37"/>
        <v>29919.393000176224</v>
      </c>
      <c r="M140" s="83">
        <f t="shared" si="37"/>
        <v>27501.114741343939</v>
      </c>
      <c r="N140" s="83">
        <f t="shared" si="37"/>
        <v>25155.166410585764</v>
      </c>
      <c r="O140" s="83">
        <f t="shared" si="37"/>
        <v>22669.02443569254</v>
      </c>
      <c r="P140" s="83">
        <f t="shared" si="37"/>
        <v>22546.499865033114</v>
      </c>
      <c r="Q140" s="83">
        <f t="shared" si="37"/>
        <v>22395.692006624453</v>
      </c>
      <c r="R140" s="83">
        <f t="shared" si="37"/>
        <v>22234.467900115997</v>
      </c>
      <c r="S140" s="83">
        <f t="shared" si="37"/>
        <v>22044.738406829369</v>
      </c>
      <c r="T140" s="83">
        <f t="shared" si="37"/>
        <v>21844.497380404089</v>
      </c>
      <c r="U140" s="83">
        <f t="shared" si="37"/>
        <v>21615.544693566459</v>
      </c>
      <c r="V140" s="83">
        <f t="shared" si="37"/>
        <v>21375.969343272634</v>
      </c>
      <c r="W140" s="83">
        <f t="shared" si="37"/>
        <v>21107.491884066105</v>
      </c>
      <c r="X140" s="83">
        <f t="shared" si="37"/>
        <v>20875.660610506638</v>
      </c>
      <c r="Y140" s="83">
        <f t="shared" si="37"/>
        <v>20630.435358505401</v>
      </c>
      <c r="Z140" s="83">
        <f t="shared" si="37"/>
        <v>21044.839470851592</v>
      </c>
      <c r="AA140" s="83">
        <f t="shared" si="37"/>
        <v>21470.671124847908</v>
      </c>
      <c r="AB140" s="83">
        <f t="shared" si="37"/>
        <v>21889.085237513358</v>
      </c>
      <c r="AC140" s="272">
        <f t="shared" si="37"/>
        <v>22319.246841349832</v>
      </c>
      <c r="AD140" s="355">
        <f t="shared" si="31"/>
        <v>570374.82266231265</v>
      </c>
    </row>
    <row r="141" spans="1:30" s="53" customFormat="1" ht="12">
      <c r="A141" s="45"/>
      <c r="B141" s="45"/>
      <c r="D141" s="209"/>
      <c r="E141" s="217"/>
      <c r="F141" s="45"/>
      <c r="G141" s="57"/>
      <c r="AC141" s="263"/>
      <c r="AD141" s="338"/>
    </row>
    <row r="142" spans="1:30" s="53" customFormat="1" ht="12">
      <c r="A142" s="45"/>
      <c r="B142" s="45"/>
      <c r="C142" s="64" t="s">
        <v>91</v>
      </c>
      <c r="D142" s="209"/>
      <c r="E142" s="217"/>
      <c r="F142" s="45"/>
      <c r="G142" s="57"/>
      <c r="AC142" s="263"/>
      <c r="AD142" s="338"/>
    </row>
    <row r="143" spans="1:30" s="53" customFormat="1" ht="24">
      <c r="A143" s="45"/>
      <c r="B143" s="45"/>
      <c r="C143" s="203" t="s">
        <v>132</v>
      </c>
      <c r="D143" s="259">
        <f>'Price Assumptions'!$B$22</f>
        <v>0.2</v>
      </c>
      <c r="E143" s="217"/>
      <c r="G143" s="96"/>
      <c r="H143" s="96"/>
      <c r="I143" s="96"/>
      <c r="J143" s="96"/>
      <c r="K143" s="96"/>
      <c r="L143" s="96"/>
      <c r="M143" s="96"/>
      <c r="N143" s="96"/>
      <c r="O143" s="96"/>
      <c r="P143" s="96"/>
      <c r="Q143" s="96"/>
      <c r="R143" s="96"/>
      <c r="S143" s="96"/>
      <c r="T143" s="96"/>
      <c r="U143" s="96"/>
      <c r="V143" s="96"/>
      <c r="W143" s="96"/>
      <c r="X143" s="96"/>
      <c r="Y143" s="96"/>
      <c r="AC143" s="263"/>
      <c r="AD143" s="338"/>
    </row>
    <row r="144" spans="1:30" s="53" customFormat="1" ht="24">
      <c r="A144" s="45"/>
      <c r="B144" s="45"/>
      <c r="C144" s="283" t="s">
        <v>503</v>
      </c>
      <c r="D144" s="284">
        <f>'Price Assumptions'!$B$21</f>
        <v>5.4413625171743009E-2</v>
      </c>
      <c r="E144" s="217"/>
      <c r="G144" s="95"/>
      <c r="H144" s="95"/>
      <c r="I144" s="95"/>
      <c r="J144" s="95"/>
      <c r="K144" s="95"/>
      <c r="L144" s="95"/>
      <c r="M144" s="95"/>
      <c r="N144" s="95"/>
      <c r="O144" s="95"/>
      <c r="P144" s="95"/>
      <c r="Q144" s="95"/>
      <c r="R144" s="95"/>
      <c r="S144" s="95"/>
      <c r="T144" s="95"/>
      <c r="U144" s="95"/>
      <c r="V144" s="95"/>
      <c r="W144" s="95"/>
      <c r="X144" s="95"/>
      <c r="Y144" s="95"/>
      <c r="AC144" s="263"/>
      <c r="AD144" s="338"/>
    </row>
    <row r="145" spans="1:30" s="5" customFormat="1" ht="12">
      <c r="A145" s="58"/>
      <c r="B145" s="58"/>
      <c r="C145" s="87" t="s">
        <v>504</v>
      </c>
      <c r="D145" s="212"/>
      <c r="E145" s="220"/>
      <c r="F145" s="83">
        <f>$D$144*$D$143*(F16+F17)</f>
        <v>0</v>
      </c>
      <c r="G145" s="83">
        <f t="shared" ref="G145:AC145" si="38">$D$144*$D$143*(G16+G17)</f>
        <v>191.1312170938285</v>
      </c>
      <c r="H145" s="83">
        <f t="shared" si="38"/>
        <v>388.34915496782838</v>
      </c>
      <c r="I145" s="83">
        <f t="shared" si="38"/>
        <v>394.43587574799955</v>
      </c>
      <c r="J145" s="83">
        <f t="shared" si="38"/>
        <v>400.52259652817088</v>
      </c>
      <c r="K145" s="83">
        <f t="shared" si="38"/>
        <v>406.60931730834193</v>
      </c>
      <c r="L145" s="83">
        <f t="shared" si="38"/>
        <v>412.69603808851332</v>
      </c>
      <c r="M145" s="83">
        <f t="shared" si="38"/>
        <v>418.78275886868448</v>
      </c>
      <c r="N145" s="83">
        <f t="shared" si="38"/>
        <v>426.33891085244028</v>
      </c>
      <c r="O145" s="83">
        <f t="shared" si="38"/>
        <v>433.89506283619596</v>
      </c>
      <c r="P145" s="83">
        <f t="shared" si="38"/>
        <v>441.4512148199517</v>
      </c>
      <c r="Q145" s="83">
        <f t="shared" si="38"/>
        <v>449.00736680370744</v>
      </c>
      <c r="R145" s="83">
        <f t="shared" si="38"/>
        <v>456.56351878746312</v>
      </c>
      <c r="S145" s="83">
        <f t="shared" si="38"/>
        <v>464.11967077121892</v>
      </c>
      <c r="T145" s="83">
        <f t="shared" si="38"/>
        <v>471.6758227549746</v>
      </c>
      <c r="U145" s="83">
        <f t="shared" si="38"/>
        <v>479.23197473873034</v>
      </c>
      <c r="V145" s="83">
        <f t="shared" si="38"/>
        <v>486.78812672248603</v>
      </c>
      <c r="W145" s="83">
        <f t="shared" si="38"/>
        <v>494.34427870624177</v>
      </c>
      <c r="X145" s="83">
        <f t="shared" si="38"/>
        <v>503.26379936803664</v>
      </c>
      <c r="Y145" s="83">
        <f t="shared" si="38"/>
        <v>512.18332002983152</v>
      </c>
      <c r="Z145" s="83">
        <f t="shared" si="38"/>
        <v>521.10284069162651</v>
      </c>
      <c r="AA145" s="83">
        <f t="shared" si="38"/>
        <v>530.02236135342127</v>
      </c>
      <c r="AB145" s="83">
        <f t="shared" si="38"/>
        <v>538.94188201521638</v>
      </c>
      <c r="AC145" s="272">
        <f t="shared" si="38"/>
        <v>547.86140267701137</v>
      </c>
      <c r="AD145" s="355">
        <f t="shared" si="31"/>
        <v>10369.318512531921</v>
      </c>
    </row>
    <row r="146" spans="1:30" s="110" customFormat="1" ht="12">
      <c r="A146" s="107"/>
      <c r="B146" s="107"/>
      <c r="C146" s="108"/>
      <c r="D146" s="208"/>
      <c r="E146" s="216"/>
      <c r="F146" s="109"/>
      <c r="G146" s="109"/>
      <c r="H146" s="109"/>
      <c r="I146" s="109"/>
      <c r="J146" s="109"/>
      <c r="K146" s="109"/>
      <c r="L146" s="109"/>
      <c r="M146" s="109"/>
      <c r="N146" s="109"/>
      <c r="O146" s="109"/>
      <c r="P146" s="109"/>
      <c r="Q146" s="109"/>
      <c r="R146" s="109"/>
      <c r="S146" s="109"/>
      <c r="T146" s="109"/>
      <c r="U146" s="109"/>
      <c r="V146" s="109"/>
      <c r="W146" s="109"/>
      <c r="X146" s="109"/>
      <c r="Y146" s="109"/>
      <c r="Z146" s="109"/>
      <c r="AC146" s="262"/>
      <c r="AD146" s="337"/>
    </row>
    <row r="147" spans="1:30" s="110" customFormat="1" ht="12">
      <c r="A147" s="58" t="s">
        <v>345</v>
      </c>
      <c r="B147" s="58"/>
      <c r="C147" s="108"/>
      <c r="D147" s="208"/>
      <c r="E147" s="216"/>
      <c r="F147" s="109"/>
      <c r="G147" s="109"/>
      <c r="H147" s="109"/>
      <c r="I147" s="109"/>
      <c r="J147" s="109"/>
      <c r="K147" s="109"/>
      <c r="L147" s="109"/>
      <c r="M147" s="109"/>
      <c r="N147" s="109"/>
      <c r="O147" s="109"/>
      <c r="P147" s="109"/>
      <c r="Q147" s="109"/>
      <c r="R147" s="109"/>
      <c r="S147" s="109"/>
      <c r="T147" s="109"/>
      <c r="U147" s="109"/>
      <c r="V147" s="109"/>
      <c r="W147" s="109"/>
      <c r="X147" s="109"/>
      <c r="Y147" s="109"/>
      <c r="Z147" s="109"/>
      <c r="AC147" s="262"/>
      <c r="AD147" s="337"/>
    </row>
    <row r="148" spans="1:30" s="110" customFormat="1" ht="12">
      <c r="A148" s="58"/>
      <c r="B148" s="58"/>
      <c r="C148" s="46" t="s">
        <v>39</v>
      </c>
      <c r="D148" s="210"/>
      <c r="E148" s="217"/>
      <c r="F148" s="45"/>
      <c r="G148" s="109"/>
      <c r="H148" s="109"/>
      <c r="I148" s="109"/>
      <c r="J148" s="109"/>
      <c r="K148" s="109"/>
      <c r="L148" s="109"/>
      <c r="M148" s="109"/>
      <c r="N148" s="109"/>
      <c r="O148" s="109"/>
      <c r="P148" s="109"/>
      <c r="Q148" s="109"/>
      <c r="R148" s="109"/>
      <c r="S148" s="109"/>
      <c r="T148" s="109"/>
      <c r="U148" s="109"/>
      <c r="V148" s="109"/>
      <c r="W148" s="109"/>
      <c r="X148" s="109"/>
      <c r="Y148" s="109"/>
      <c r="Z148" s="109"/>
      <c r="AC148" s="262"/>
      <c r="AD148" s="337"/>
    </row>
    <row r="149" spans="1:30" s="110" customFormat="1" ht="12">
      <c r="A149" s="58"/>
      <c r="B149" s="58" t="s">
        <v>225</v>
      </c>
      <c r="D149" s="210"/>
      <c r="E149" s="217"/>
      <c r="F149" s="45"/>
      <c r="G149" s="109"/>
      <c r="H149" s="109"/>
      <c r="I149" s="109"/>
      <c r="J149" s="109"/>
      <c r="K149" s="109"/>
      <c r="L149" s="109"/>
      <c r="M149" s="109"/>
      <c r="N149" s="109"/>
      <c r="O149" s="109"/>
      <c r="P149" s="109"/>
      <c r="Q149" s="109"/>
      <c r="R149" s="109"/>
      <c r="S149" s="109"/>
      <c r="T149" s="109"/>
      <c r="U149" s="109"/>
      <c r="V149" s="109"/>
      <c r="W149" s="109"/>
      <c r="X149" s="109"/>
      <c r="Y149" s="109"/>
      <c r="Z149" s="109"/>
      <c r="AC149" s="262"/>
      <c r="AD149" s="337"/>
    </row>
    <row r="150" spans="1:30" s="110" customFormat="1" ht="12">
      <c r="A150" s="58"/>
      <c r="B150" s="444" t="s">
        <v>587</v>
      </c>
      <c r="C150" s="78" t="s">
        <v>561</v>
      </c>
      <c r="D150" s="210"/>
      <c r="E150" s="217"/>
      <c r="F150" s="45"/>
      <c r="G150" s="109"/>
      <c r="H150" s="109"/>
      <c r="I150" s="55"/>
      <c r="J150" s="55"/>
      <c r="K150" s="55"/>
      <c r="L150" s="55"/>
      <c r="M150" s="55"/>
      <c r="N150" s="55"/>
      <c r="O150" s="55"/>
      <c r="P150" s="55"/>
      <c r="Q150" s="55"/>
      <c r="R150" s="55"/>
      <c r="S150" s="55"/>
      <c r="T150" s="55"/>
      <c r="U150" s="55"/>
      <c r="V150" s="55"/>
      <c r="W150" s="55"/>
      <c r="X150" s="55"/>
      <c r="Y150" s="55"/>
      <c r="Z150" s="55"/>
      <c r="AA150" s="55"/>
      <c r="AB150" s="55"/>
      <c r="AC150" s="270"/>
      <c r="AD150" s="353"/>
    </row>
    <row r="151" spans="1:30" s="110" customFormat="1" ht="12">
      <c r="A151" s="58"/>
      <c r="C151" s="78" t="s">
        <v>542</v>
      </c>
      <c r="D151" s="210">
        <f>'Mode Operating Assumptions'!D189</f>
        <v>8.2555465307736857E-8</v>
      </c>
      <c r="E151" s="217"/>
      <c r="F151" s="55">
        <f t="shared" ref="F151:AC151" si="39">$D$151*(F$11+F$12)</f>
        <v>0</v>
      </c>
      <c r="G151" s="55">
        <f t="shared" si="39"/>
        <v>1.6089255961653684E-3</v>
      </c>
      <c r="H151" s="55">
        <f t="shared" si="39"/>
        <v>3.2690886668199069E-3</v>
      </c>
      <c r="I151" s="55">
        <f t="shared" si="39"/>
        <v>3.3203261413090775E-3</v>
      </c>
      <c r="J151" s="55">
        <f t="shared" si="39"/>
        <v>3.3715636157982489E-3</v>
      </c>
      <c r="K151" s="55">
        <f t="shared" si="39"/>
        <v>3.4228010902874191E-3</v>
      </c>
      <c r="L151" s="55">
        <f t="shared" si="39"/>
        <v>3.4740385647765897E-3</v>
      </c>
      <c r="M151" s="55">
        <f t="shared" si="39"/>
        <v>3.5252760392657594E-3</v>
      </c>
      <c r="N151" s="55">
        <f t="shared" si="39"/>
        <v>3.5888830550114513E-3</v>
      </c>
      <c r="O151" s="55">
        <f t="shared" si="39"/>
        <v>3.6524900707571423E-3</v>
      </c>
      <c r="P151" s="55">
        <f t="shared" si="39"/>
        <v>3.7160970865028338E-3</v>
      </c>
      <c r="Q151" s="55">
        <f t="shared" si="39"/>
        <v>3.7797041022485248E-3</v>
      </c>
      <c r="R151" s="55">
        <f t="shared" si="39"/>
        <v>3.8433111179942163E-3</v>
      </c>
      <c r="S151" s="55">
        <f t="shared" si="39"/>
        <v>3.9069181337399077E-3</v>
      </c>
      <c r="T151" s="55">
        <f t="shared" si="39"/>
        <v>3.9705251494855992E-3</v>
      </c>
      <c r="U151" s="55">
        <f t="shared" si="39"/>
        <v>4.0341321652312906E-3</v>
      </c>
      <c r="V151" s="55">
        <f t="shared" si="39"/>
        <v>4.0977391809769821E-3</v>
      </c>
      <c r="W151" s="55">
        <f t="shared" si="39"/>
        <v>4.1613461967226735E-3</v>
      </c>
      <c r="X151" s="55">
        <f t="shared" si="39"/>
        <v>4.2364299288125632E-3</v>
      </c>
      <c r="Y151" s="55">
        <f t="shared" si="39"/>
        <v>4.3115136609024546E-3</v>
      </c>
      <c r="Z151" s="55">
        <f t="shared" si="39"/>
        <v>4.3865973929923443E-3</v>
      </c>
      <c r="AA151" s="55">
        <f t="shared" si="39"/>
        <v>4.4616811250822348E-3</v>
      </c>
      <c r="AB151" s="55">
        <f t="shared" si="39"/>
        <v>4.5367648571721245E-3</v>
      </c>
      <c r="AC151" s="270">
        <f t="shared" si="39"/>
        <v>4.6118485892620168E-3</v>
      </c>
      <c r="AD151" s="353">
        <f t="shared" si="31"/>
        <v>8.7288001527316722E-2</v>
      </c>
    </row>
    <row r="152" spans="1:30" s="110" customFormat="1" ht="12">
      <c r="A152" s="58"/>
      <c r="C152" s="49" t="s">
        <v>40</v>
      </c>
      <c r="D152" s="308">
        <f>-'Mode Operating Assumptions'!C179</f>
        <v>-6200000</v>
      </c>
      <c r="E152" s="217"/>
      <c r="F152" s="255">
        <f>F151*$D$152</f>
        <v>0</v>
      </c>
      <c r="G152" s="255">
        <f t="shared" ref="G152:AC152" si="40">G151*$D$152</f>
        <v>-9975.3386962252844</v>
      </c>
      <c r="H152" s="255">
        <f t="shared" si="40"/>
        <v>-20268.349734283423</v>
      </c>
      <c r="I152" s="255">
        <f t="shared" si="40"/>
        <v>-20586.022076116282</v>
      </c>
      <c r="J152" s="255">
        <f t="shared" si="40"/>
        <v>-20903.694417949144</v>
      </c>
      <c r="K152" s="255">
        <f t="shared" si="40"/>
        <v>-21221.366759781999</v>
      </c>
      <c r="L152" s="255">
        <f t="shared" si="40"/>
        <v>-21539.039101614857</v>
      </c>
      <c r="M152" s="255">
        <f t="shared" si="40"/>
        <v>-21856.711443447708</v>
      </c>
      <c r="N152" s="255">
        <f t="shared" si="40"/>
        <v>-22251.074941070998</v>
      </c>
      <c r="O152" s="255">
        <f t="shared" si="40"/>
        <v>-22645.438438694284</v>
      </c>
      <c r="P152" s="255">
        <f t="shared" si="40"/>
        <v>-23039.80193631757</v>
      </c>
      <c r="Q152" s="255">
        <f t="shared" si="40"/>
        <v>-23434.165433940852</v>
      </c>
      <c r="R152" s="255">
        <f t="shared" si="40"/>
        <v>-23828.528931564142</v>
      </c>
      <c r="S152" s="255">
        <f t="shared" si="40"/>
        <v>-24222.892429187428</v>
      </c>
      <c r="T152" s="255">
        <f t="shared" si="40"/>
        <v>-24617.255926810714</v>
      </c>
      <c r="U152" s="255">
        <f t="shared" si="40"/>
        <v>-25011.619424434</v>
      </c>
      <c r="V152" s="255">
        <f t="shared" si="40"/>
        <v>-25405.98292205729</v>
      </c>
      <c r="W152" s="255">
        <f t="shared" si="40"/>
        <v>-25800.346419680576</v>
      </c>
      <c r="X152" s="255">
        <f t="shared" si="40"/>
        <v>-26265.865558637892</v>
      </c>
      <c r="Y152" s="255">
        <f t="shared" si="40"/>
        <v>-26731.384697595218</v>
      </c>
      <c r="Z152" s="255">
        <f t="shared" si="40"/>
        <v>-27196.903836552534</v>
      </c>
      <c r="AA152" s="255">
        <f t="shared" si="40"/>
        <v>-27662.422975509857</v>
      </c>
      <c r="AB152" s="255">
        <f t="shared" si="40"/>
        <v>-28127.942114467172</v>
      </c>
      <c r="AC152" s="268">
        <f t="shared" si="40"/>
        <v>-28593.461253424503</v>
      </c>
      <c r="AD152" s="360">
        <f t="shared" si="31"/>
        <v>-541185.6094693637</v>
      </c>
    </row>
    <row r="153" spans="1:30" s="110" customFormat="1" ht="12">
      <c r="A153" s="58"/>
      <c r="C153" s="78" t="s">
        <v>543</v>
      </c>
      <c r="D153" s="210">
        <f>'Mode Operating Assumptions'!D190</f>
        <v>2.5164317528336415E-6</v>
      </c>
      <c r="E153" s="217"/>
      <c r="F153" s="55">
        <f t="shared" ref="F153:AC153" si="41">$D$153*(F$11+F$12)</f>
        <v>0</v>
      </c>
      <c r="G153" s="55">
        <f t="shared" si="41"/>
        <v>4.9042803441844238E-2</v>
      </c>
      <c r="H153" s="55">
        <f t="shared" si="41"/>
        <v>9.9647412722453074E-2</v>
      </c>
      <c r="I153" s="55">
        <f t="shared" si="41"/>
        <v>0.10120921856121769</v>
      </c>
      <c r="J153" s="55">
        <f t="shared" si="41"/>
        <v>0.10277102439998231</v>
      </c>
      <c r="K153" s="55">
        <f t="shared" si="41"/>
        <v>0.1043328302387469</v>
      </c>
      <c r="L153" s="55">
        <f t="shared" si="41"/>
        <v>0.10589463607751151</v>
      </c>
      <c r="M153" s="55">
        <f t="shared" si="41"/>
        <v>0.10745644191627611</v>
      </c>
      <c r="N153" s="55">
        <f t="shared" si="41"/>
        <v>0.10939529252451617</v>
      </c>
      <c r="O153" s="55">
        <f t="shared" si="41"/>
        <v>0.11133414313275623</v>
      </c>
      <c r="P153" s="55">
        <f t="shared" si="41"/>
        <v>0.11327299374099629</v>
      </c>
      <c r="Q153" s="55">
        <f t="shared" si="41"/>
        <v>0.11521184434923636</v>
      </c>
      <c r="R153" s="55">
        <f t="shared" si="41"/>
        <v>0.11715069495747642</v>
      </c>
      <c r="S153" s="55">
        <f t="shared" si="41"/>
        <v>0.11908954556571649</v>
      </c>
      <c r="T153" s="55">
        <f t="shared" si="41"/>
        <v>0.12102839617395657</v>
      </c>
      <c r="U153" s="55">
        <f t="shared" si="41"/>
        <v>0.12296724678219662</v>
      </c>
      <c r="V153" s="55">
        <f t="shared" si="41"/>
        <v>0.12490609739043669</v>
      </c>
      <c r="W153" s="55">
        <f t="shared" si="41"/>
        <v>0.12684494799867677</v>
      </c>
      <c r="X153" s="55">
        <f t="shared" si="41"/>
        <v>0.12913362854632968</v>
      </c>
      <c r="Y153" s="55">
        <f t="shared" si="41"/>
        <v>0.13142230909398264</v>
      </c>
      <c r="Z153" s="55">
        <f t="shared" si="41"/>
        <v>0.13371098964163558</v>
      </c>
      <c r="AA153" s="55">
        <f t="shared" si="41"/>
        <v>0.13599967018928849</v>
      </c>
      <c r="AB153" s="55">
        <f t="shared" si="41"/>
        <v>0.13828835073694143</v>
      </c>
      <c r="AC153" s="270">
        <f t="shared" si="41"/>
        <v>0.14057703128459442</v>
      </c>
      <c r="AD153" s="353">
        <f t="shared" si="31"/>
        <v>2.6606875494667688</v>
      </c>
    </row>
    <row r="154" spans="1:30" s="110" customFormat="1" ht="12">
      <c r="A154" s="58"/>
      <c r="C154" s="49" t="s">
        <v>41</v>
      </c>
      <c r="D154" s="308">
        <f>-'Mode Operating Assumptions'!C175</f>
        <v>-291400</v>
      </c>
      <c r="E154" s="217"/>
      <c r="F154" s="255">
        <f>F153*$D$154</f>
        <v>0</v>
      </c>
      <c r="G154" s="255">
        <f t="shared" ref="G154:AC154" si="42">G153*$D$154</f>
        <v>-14291.072922953412</v>
      </c>
      <c r="H154" s="255">
        <f t="shared" si="42"/>
        <v>-29037.256067322825</v>
      </c>
      <c r="I154" s="255">
        <f t="shared" si="42"/>
        <v>-29492.366288738835</v>
      </c>
      <c r="J154" s="255">
        <f t="shared" si="42"/>
        <v>-29947.476510154847</v>
      </c>
      <c r="K154" s="255">
        <f t="shared" si="42"/>
        <v>-30402.586731570846</v>
      </c>
      <c r="L154" s="255">
        <f t="shared" si="42"/>
        <v>-30857.696952986855</v>
      </c>
      <c r="M154" s="255">
        <f t="shared" si="42"/>
        <v>-31312.80717440286</v>
      </c>
      <c r="N154" s="255">
        <f t="shared" si="42"/>
        <v>-31877.788241644012</v>
      </c>
      <c r="O154" s="255">
        <f t="shared" si="42"/>
        <v>-32442.769308885167</v>
      </c>
      <c r="P154" s="255">
        <f t="shared" si="42"/>
        <v>-33007.750376126321</v>
      </c>
      <c r="Q154" s="255">
        <f t="shared" si="42"/>
        <v>-33572.731443367476</v>
      </c>
      <c r="R154" s="255">
        <f t="shared" si="42"/>
        <v>-34137.712510608631</v>
      </c>
      <c r="S154" s="255">
        <f t="shared" si="42"/>
        <v>-34702.693577849786</v>
      </c>
      <c r="T154" s="255">
        <f t="shared" si="42"/>
        <v>-35267.674645090941</v>
      </c>
      <c r="U154" s="255">
        <f t="shared" si="42"/>
        <v>-35832.655712332096</v>
      </c>
      <c r="V154" s="255">
        <f t="shared" si="42"/>
        <v>-36397.636779573251</v>
      </c>
      <c r="W154" s="255">
        <f t="shared" si="42"/>
        <v>-36962.617846814406</v>
      </c>
      <c r="X154" s="255">
        <f t="shared" si="42"/>
        <v>-37629.539358400471</v>
      </c>
      <c r="Y154" s="255">
        <f t="shared" si="42"/>
        <v>-38296.460869986542</v>
      </c>
      <c r="Z154" s="255">
        <f t="shared" si="42"/>
        <v>-38963.382381572606</v>
      </c>
      <c r="AA154" s="255">
        <f t="shared" si="42"/>
        <v>-39630.303893158663</v>
      </c>
      <c r="AB154" s="255">
        <f t="shared" si="42"/>
        <v>-40297.225404744735</v>
      </c>
      <c r="AC154" s="268">
        <f t="shared" si="42"/>
        <v>-40964.146916330814</v>
      </c>
      <c r="AD154" s="360">
        <f t="shared" si="31"/>
        <v>-775324.35191461653</v>
      </c>
    </row>
    <row r="155" spans="1:30" s="110" customFormat="1" ht="12">
      <c r="A155" s="58"/>
      <c r="C155" s="49"/>
      <c r="D155" s="308"/>
      <c r="E155" s="217"/>
      <c r="F155" s="255"/>
      <c r="G155" s="255"/>
      <c r="H155" s="255"/>
      <c r="I155" s="255"/>
      <c r="J155" s="255"/>
      <c r="K155" s="255"/>
      <c r="L155" s="255"/>
      <c r="M155" s="255"/>
      <c r="N155" s="255"/>
      <c r="O155" s="255"/>
      <c r="P155" s="255"/>
      <c r="Q155" s="255"/>
      <c r="R155" s="255"/>
      <c r="S155" s="255"/>
      <c r="T155" s="255"/>
      <c r="U155" s="255"/>
      <c r="V155" s="255"/>
      <c r="W155" s="255"/>
      <c r="X155" s="255"/>
      <c r="Y155" s="255"/>
      <c r="Z155" s="255"/>
      <c r="AA155" s="255"/>
      <c r="AB155" s="255"/>
      <c r="AC155" s="268"/>
      <c r="AD155" s="360"/>
    </row>
    <row r="156" spans="1:30" s="110" customFormat="1" ht="12">
      <c r="A156" s="58"/>
      <c r="B156" s="445" t="s">
        <v>588</v>
      </c>
      <c r="C156" s="78" t="s">
        <v>586</v>
      </c>
      <c r="D156" s="443">
        <v>-0.3</v>
      </c>
      <c r="E156" s="217"/>
      <c r="F156" s="45"/>
      <c r="G156" s="45"/>
      <c r="H156" s="45"/>
      <c r="I156" s="45"/>
      <c r="J156" s="45"/>
      <c r="K156" s="45"/>
      <c r="L156" s="45"/>
      <c r="M156" s="45"/>
      <c r="N156" s="45"/>
      <c r="O156" s="45"/>
      <c r="P156" s="45"/>
      <c r="Q156" s="45"/>
      <c r="R156" s="45"/>
      <c r="S156" s="45"/>
      <c r="T156" s="45"/>
      <c r="U156" s="45"/>
      <c r="V156" s="45"/>
      <c r="W156" s="45"/>
      <c r="X156" s="45"/>
      <c r="Y156" s="45"/>
      <c r="Z156" s="45"/>
      <c r="AA156" s="45"/>
      <c r="AB156" s="45"/>
      <c r="AC156" s="263"/>
      <c r="AD156" s="337"/>
    </row>
    <row r="157" spans="1:30" s="110" customFormat="1" ht="12">
      <c r="A157" s="58"/>
      <c r="B157" s="58"/>
      <c r="C157" s="78" t="s">
        <v>542</v>
      </c>
      <c r="D157" s="210">
        <f>D151*D$156</f>
        <v>-2.4766639592321058E-8</v>
      </c>
      <c r="E157" s="217"/>
      <c r="F157" s="55">
        <f>$D157*(F$15+F$16+F$17)</f>
        <v>0</v>
      </c>
      <c r="G157" s="55">
        <f t="shared" ref="G157:AC157" si="43">$D157*(G$15+G$16+G$17)</f>
        <v>-9.1344067801897872E-3</v>
      </c>
      <c r="H157" s="55">
        <f t="shared" si="43"/>
        <v>-1.8559705777825276E-2</v>
      </c>
      <c r="I157" s="55">
        <f t="shared" si="43"/>
        <v>-1.8850597995270963E-2</v>
      </c>
      <c r="J157" s="55">
        <f t="shared" si="43"/>
        <v>-1.9141490212716661E-2</v>
      </c>
      <c r="K157" s="55">
        <f t="shared" si="43"/>
        <v>-1.9432382430162352E-2</v>
      </c>
      <c r="L157" s="55">
        <f t="shared" si="43"/>
        <v>-1.9723274647608053E-2</v>
      </c>
      <c r="M157" s="55">
        <f t="shared" si="43"/>
        <v>-2.0014166865053747E-2</v>
      </c>
      <c r="N157" s="55">
        <f t="shared" si="43"/>
        <v>-2.0375285090333921E-2</v>
      </c>
      <c r="O157" s="55">
        <f t="shared" si="43"/>
        <v>-2.0736403315614091E-2</v>
      </c>
      <c r="P157" s="55">
        <f t="shared" si="43"/>
        <v>-2.1097521540894261E-2</v>
      </c>
      <c r="Q157" s="55">
        <f t="shared" si="43"/>
        <v>-2.1458639766174434E-2</v>
      </c>
      <c r="R157" s="55">
        <f t="shared" si="43"/>
        <v>-2.1819757991454608E-2</v>
      </c>
      <c r="S157" s="55">
        <f t="shared" si="43"/>
        <v>-2.2180876216734778E-2</v>
      </c>
      <c r="T157" s="55">
        <f t="shared" si="43"/>
        <v>-2.2541994442014952E-2</v>
      </c>
      <c r="U157" s="55">
        <f t="shared" si="43"/>
        <v>-2.2903112667295129E-2</v>
      </c>
      <c r="V157" s="55">
        <f t="shared" si="43"/>
        <v>-2.3264230892575295E-2</v>
      </c>
      <c r="W157" s="55">
        <f t="shared" si="43"/>
        <v>-2.3625349117855472E-2</v>
      </c>
      <c r="X157" s="55">
        <f t="shared" si="43"/>
        <v>-2.4051624486411016E-2</v>
      </c>
      <c r="Y157" s="55">
        <f t="shared" si="43"/>
        <v>-2.4477899854966564E-2</v>
      </c>
      <c r="Z157" s="55">
        <f t="shared" si="43"/>
        <v>-2.4904175223522118E-2</v>
      </c>
      <c r="AA157" s="55">
        <f t="shared" si="43"/>
        <v>-2.5330450592077662E-2</v>
      </c>
      <c r="AB157" s="55">
        <f t="shared" si="43"/>
        <v>-2.5756725960633216E-2</v>
      </c>
      <c r="AC157" s="270">
        <f t="shared" si="43"/>
        <v>-2.6183001329188767E-2</v>
      </c>
      <c r="AD157" s="338">
        <f>SUM(F157:AC157)</f>
        <v>-0.49556307319657311</v>
      </c>
    </row>
    <row r="158" spans="1:30" s="110" customFormat="1" ht="12">
      <c r="A158" s="58"/>
      <c r="B158" s="58"/>
      <c r="C158" s="49" t="s">
        <v>40</v>
      </c>
      <c r="D158" s="308">
        <f>D152</f>
        <v>-6200000</v>
      </c>
      <c r="E158" s="217"/>
      <c r="F158" s="315">
        <f>F157*$D$171</f>
        <v>0</v>
      </c>
      <c r="G158" s="315">
        <f t="shared" ref="G158:AC158" si="44">G157*$D$171</f>
        <v>56633.32203717668</v>
      </c>
      <c r="H158" s="315">
        <f t="shared" si="44"/>
        <v>115070.17582251671</v>
      </c>
      <c r="I158" s="315">
        <f t="shared" si="44"/>
        <v>116873.70757067997</v>
      </c>
      <c r="J158" s="315">
        <f t="shared" si="44"/>
        <v>118677.23931884329</v>
      </c>
      <c r="K158" s="315">
        <f t="shared" si="44"/>
        <v>120480.77106700659</v>
      </c>
      <c r="L158" s="315">
        <f t="shared" si="44"/>
        <v>122284.30281516993</v>
      </c>
      <c r="M158" s="315">
        <f t="shared" si="44"/>
        <v>124087.83456333324</v>
      </c>
      <c r="N158" s="315">
        <f t="shared" si="44"/>
        <v>126326.76756007031</v>
      </c>
      <c r="O158" s="315">
        <f t="shared" si="44"/>
        <v>128565.70055680737</v>
      </c>
      <c r="P158" s="315">
        <f t="shared" si="44"/>
        <v>130804.63355354442</v>
      </c>
      <c r="Q158" s="315">
        <f t="shared" si="44"/>
        <v>133043.56655028148</v>
      </c>
      <c r="R158" s="315">
        <f t="shared" si="44"/>
        <v>135282.49954701858</v>
      </c>
      <c r="S158" s="315">
        <f t="shared" si="44"/>
        <v>137521.43254375563</v>
      </c>
      <c r="T158" s="315">
        <f t="shared" si="44"/>
        <v>139760.3655404927</v>
      </c>
      <c r="U158" s="315">
        <f t="shared" si="44"/>
        <v>141999.2985372298</v>
      </c>
      <c r="V158" s="315">
        <f t="shared" si="44"/>
        <v>144238.23153396684</v>
      </c>
      <c r="W158" s="315">
        <f t="shared" si="44"/>
        <v>146477.16453070391</v>
      </c>
      <c r="X158" s="315">
        <f t="shared" si="44"/>
        <v>149120.07181574829</v>
      </c>
      <c r="Y158" s="315">
        <f t="shared" si="44"/>
        <v>151762.9791007927</v>
      </c>
      <c r="Z158" s="315">
        <f t="shared" si="44"/>
        <v>154405.88638583713</v>
      </c>
      <c r="AA158" s="315">
        <f t="shared" si="44"/>
        <v>157048.79367088151</v>
      </c>
      <c r="AB158" s="315">
        <f t="shared" si="44"/>
        <v>159691.70095592595</v>
      </c>
      <c r="AC158" s="390">
        <f t="shared" si="44"/>
        <v>162334.60824097035</v>
      </c>
      <c r="AD158" s="359">
        <f>SUM(F158:AC158)</f>
        <v>3072491.0538187535</v>
      </c>
    </row>
    <row r="159" spans="1:30" s="110" customFormat="1" ht="12">
      <c r="A159" s="58"/>
      <c r="B159" s="58"/>
      <c r="C159" s="78" t="s">
        <v>543</v>
      </c>
      <c r="D159" s="210">
        <f>D153*D$156</f>
        <v>-7.5492952585009245E-7</v>
      </c>
      <c r="E159" s="217"/>
      <c r="F159" s="55">
        <f>$D159*(F$15+F$16+F$17)</f>
        <v>0</v>
      </c>
      <c r="G159" s="55">
        <f t="shared" ref="G159:AC159" si="45">$D159*(G$15+G$16+G$17)</f>
        <v>-0.27843233854093841</v>
      </c>
      <c r="H159" s="55">
        <f t="shared" si="45"/>
        <v>-0.56573156929675172</v>
      </c>
      <c r="I159" s="55">
        <f t="shared" si="45"/>
        <v>-0.5745984615116263</v>
      </c>
      <c r="J159" s="55">
        <f t="shared" si="45"/>
        <v>-0.5834653537265011</v>
      </c>
      <c r="K159" s="55">
        <f t="shared" si="45"/>
        <v>-0.59233224594137579</v>
      </c>
      <c r="L159" s="55">
        <f t="shared" si="45"/>
        <v>-0.6011991381562507</v>
      </c>
      <c r="M159" s="55">
        <f t="shared" si="45"/>
        <v>-0.61006603037112539</v>
      </c>
      <c r="N159" s="55">
        <f t="shared" si="45"/>
        <v>-0.6210735313916157</v>
      </c>
      <c r="O159" s="55">
        <f t="shared" si="45"/>
        <v>-0.63208103241210589</v>
      </c>
      <c r="P159" s="55">
        <f t="shared" si="45"/>
        <v>-0.64308853343259598</v>
      </c>
      <c r="Q159" s="55">
        <f t="shared" si="45"/>
        <v>-0.65409603445308628</v>
      </c>
      <c r="R159" s="55">
        <f t="shared" si="45"/>
        <v>-0.66510353547357648</v>
      </c>
      <c r="S159" s="55">
        <f t="shared" si="45"/>
        <v>-0.67611103649406668</v>
      </c>
      <c r="T159" s="55">
        <f t="shared" si="45"/>
        <v>-0.68711853751455687</v>
      </c>
      <c r="U159" s="55">
        <f t="shared" si="45"/>
        <v>-0.69812603853504718</v>
      </c>
      <c r="V159" s="55">
        <f t="shared" si="45"/>
        <v>-0.70913353955553737</v>
      </c>
      <c r="W159" s="55">
        <f t="shared" si="45"/>
        <v>-0.72014104057602768</v>
      </c>
      <c r="X159" s="55">
        <f t="shared" si="45"/>
        <v>-0.73313464274258833</v>
      </c>
      <c r="Y159" s="55">
        <f t="shared" si="45"/>
        <v>-0.7461282449091492</v>
      </c>
      <c r="Z159" s="55">
        <f t="shared" si="45"/>
        <v>-0.75912184707571007</v>
      </c>
      <c r="AA159" s="55">
        <f t="shared" si="45"/>
        <v>-0.77211544924227082</v>
      </c>
      <c r="AB159" s="55">
        <f t="shared" si="45"/>
        <v>-0.7851090514088318</v>
      </c>
      <c r="AC159" s="270">
        <f t="shared" si="45"/>
        <v>-0.79810265357539267</v>
      </c>
      <c r="AD159" s="338">
        <f>SUM(F159:AC159)</f>
        <v>-15.10560988633673</v>
      </c>
    </row>
    <row r="160" spans="1:30" s="110" customFormat="1" ht="12">
      <c r="A160" s="58"/>
      <c r="B160" s="58"/>
      <c r="C160" s="49" t="s">
        <v>41</v>
      </c>
      <c r="D160" s="308">
        <f>D154</f>
        <v>-291400</v>
      </c>
      <c r="E160" s="217"/>
      <c r="F160" s="315">
        <f>F159*$D$173</f>
        <v>0</v>
      </c>
      <c r="G160" s="315">
        <f t="shared" ref="G160:AC160" si="46">G159*$D$173</f>
        <v>81135.183450829456</v>
      </c>
      <c r="H160" s="315">
        <f t="shared" si="46"/>
        <v>164854.17929307345</v>
      </c>
      <c r="I160" s="315">
        <f t="shared" si="46"/>
        <v>167437.9916844879</v>
      </c>
      <c r="J160" s="315">
        <f t="shared" si="46"/>
        <v>170021.80407590242</v>
      </c>
      <c r="K160" s="315">
        <f t="shared" si="46"/>
        <v>172605.6164673169</v>
      </c>
      <c r="L160" s="315">
        <f t="shared" si="46"/>
        <v>175189.42885873147</v>
      </c>
      <c r="M160" s="315">
        <f t="shared" si="46"/>
        <v>177773.24125014595</v>
      </c>
      <c r="N160" s="315">
        <f t="shared" si="46"/>
        <v>180980.82704751682</v>
      </c>
      <c r="O160" s="315">
        <f t="shared" si="46"/>
        <v>184188.41284488764</v>
      </c>
      <c r="P160" s="315">
        <f t="shared" si="46"/>
        <v>187395.99864225846</v>
      </c>
      <c r="Q160" s="315">
        <f t="shared" si="46"/>
        <v>190603.58443962934</v>
      </c>
      <c r="R160" s="315">
        <f t="shared" si="46"/>
        <v>193811.17023700019</v>
      </c>
      <c r="S160" s="315">
        <f t="shared" si="46"/>
        <v>197018.75603437104</v>
      </c>
      <c r="T160" s="315">
        <f t="shared" si="46"/>
        <v>200226.34183174188</v>
      </c>
      <c r="U160" s="315">
        <f t="shared" si="46"/>
        <v>203433.92762911276</v>
      </c>
      <c r="V160" s="315">
        <f t="shared" si="46"/>
        <v>206641.51342648358</v>
      </c>
      <c r="W160" s="315">
        <f t="shared" si="46"/>
        <v>209849.09922385446</v>
      </c>
      <c r="X160" s="315">
        <f t="shared" si="46"/>
        <v>213635.43489519024</v>
      </c>
      <c r="Y160" s="315">
        <f t="shared" si="46"/>
        <v>217421.77056652607</v>
      </c>
      <c r="Z160" s="315">
        <f t="shared" si="46"/>
        <v>221208.10623786191</v>
      </c>
      <c r="AA160" s="315">
        <f t="shared" si="46"/>
        <v>224994.44190919772</v>
      </c>
      <c r="AB160" s="315">
        <f t="shared" si="46"/>
        <v>228780.77758053358</v>
      </c>
      <c r="AC160" s="390">
        <f t="shared" si="46"/>
        <v>232567.11325186942</v>
      </c>
      <c r="AD160" s="359">
        <f>SUM(F160:AC160)</f>
        <v>4401774.7208785219</v>
      </c>
    </row>
    <row r="161" spans="1:30" s="110" customFormat="1" ht="12">
      <c r="A161" s="58"/>
      <c r="B161" s="58"/>
      <c r="C161" s="49"/>
      <c r="D161" s="308"/>
      <c r="E161" s="217"/>
      <c r="F161" s="315"/>
      <c r="G161" s="315"/>
      <c r="H161" s="315"/>
      <c r="I161" s="315"/>
      <c r="J161" s="315"/>
      <c r="K161" s="315"/>
      <c r="L161" s="315"/>
      <c r="M161" s="315"/>
      <c r="N161" s="315"/>
      <c r="O161" s="315"/>
      <c r="P161" s="315"/>
      <c r="Q161" s="315"/>
      <c r="R161" s="315"/>
      <c r="S161" s="315"/>
      <c r="T161" s="315"/>
      <c r="U161" s="315"/>
      <c r="V161" s="315"/>
      <c r="W161" s="315"/>
      <c r="X161" s="315"/>
      <c r="Y161" s="315"/>
      <c r="Z161" s="315"/>
      <c r="AA161" s="315"/>
      <c r="AB161" s="315"/>
      <c r="AC161" s="390"/>
      <c r="AD161" s="359"/>
    </row>
    <row r="162" spans="1:30" s="110" customFormat="1" ht="12">
      <c r="A162" s="58"/>
      <c r="B162" s="58" t="s">
        <v>222</v>
      </c>
      <c r="D162" s="210"/>
      <c r="E162" s="217"/>
      <c r="AC162" s="262"/>
      <c r="AD162" s="337"/>
    </row>
    <row r="163" spans="1:30" s="110" customFormat="1" ht="12">
      <c r="A163" s="58"/>
      <c r="B163" s="444" t="s">
        <v>587</v>
      </c>
      <c r="C163" s="78" t="s">
        <v>518</v>
      </c>
      <c r="D163" s="210"/>
      <c r="E163" s="217"/>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270"/>
      <c r="AD163" s="353"/>
    </row>
    <row r="164" spans="1:30" s="110" customFormat="1" ht="12">
      <c r="A164" s="58"/>
      <c r="C164" s="78" t="s">
        <v>542</v>
      </c>
      <c r="D164" s="210">
        <f>'Mode Operating Assumptions'!$D$195</f>
        <v>1.8722590666405648E-7</v>
      </c>
      <c r="E164" s="217"/>
      <c r="F164" s="55">
        <f t="shared" ref="F164:AC164" si="47">$D$164*(F$16+F$17)</f>
        <v>0</v>
      </c>
      <c r="G164" s="55">
        <f t="shared" si="47"/>
        <v>3.2882127683324844E-3</v>
      </c>
      <c r="H164" s="55">
        <f t="shared" si="47"/>
        <v>6.6811412042097887E-3</v>
      </c>
      <c r="I164" s="55">
        <f t="shared" si="47"/>
        <v>6.785856871754605E-3</v>
      </c>
      <c r="J164" s="55">
        <f t="shared" si="47"/>
        <v>6.8905725392994248E-3</v>
      </c>
      <c r="K164" s="55">
        <f t="shared" si="47"/>
        <v>6.9952882068442393E-3</v>
      </c>
      <c r="L164" s="55">
        <f t="shared" si="47"/>
        <v>7.10000387438906E-3</v>
      </c>
      <c r="M164" s="55">
        <f t="shared" si="47"/>
        <v>7.2047195419338763E-3</v>
      </c>
      <c r="N164" s="55">
        <f t="shared" si="47"/>
        <v>7.3347152370915603E-3</v>
      </c>
      <c r="O164" s="55">
        <f t="shared" si="47"/>
        <v>7.4647109322492433E-3</v>
      </c>
      <c r="P164" s="55">
        <f t="shared" si="47"/>
        <v>7.5947066274069282E-3</v>
      </c>
      <c r="Q164" s="55">
        <f t="shared" si="47"/>
        <v>7.7247023225646121E-3</v>
      </c>
      <c r="R164" s="55">
        <f t="shared" si="47"/>
        <v>7.8546980177222961E-3</v>
      </c>
      <c r="S164" s="55">
        <f t="shared" si="47"/>
        <v>7.98469371287998E-3</v>
      </c>
      <c r="T164" s="55">
        <f t="shared" si="47"/>
        <v>8.1146894080376623E-3</v>
      </c>
      <c r="U164" s="55">
        <f t="shared" si="47"/>
        <v>8.2446851031953462E-3</v>
      </c>
      <c r="V164" s="55">
        <f t="shared" si="47"/>
        <v>8.3746807983530302E-3</v>
      </c>
      <c r="W164" s="55">
        <f t="shared" si="47"/>
        <v>8.5046764935107141E-3</v>
      </c>
      <c r="X164" s="55">
        <f t="shared" si="47"/>
        <v>8.6581275214143404E-3</v>
      </c>
      <c r="Y164" s="55">
        <f t="shared" si="47"/>
        <v>8.81157854931797E-3</v>
      </c>
      <c r="Z164" s="55">
        <f t="shared" si="47"/>
        <v>8.965029577221598E-3</v>
      </c>
      <c r="AA164" s="55">
        <f t="shared" si="47"/>
        <v>9.1184806051252242E-3</v>
      </c>
      <c r="AB164" s="55">
        <f t="shared" si="47"/>
        <v>9.2719316330288539E-3</v>
      </c>
      <c r="AC164" s="270">
        <f t="shared" si="47"/>
        <v>9.4253826609324836E-3</v>
      </c>
      <c r="AD164" s="353">
        <f t="shared" si="31"/>
        <v>0.17839328420681533</v>
      </c>
    </row>
    <row r="165" spans="1:30" s="110" customFormat="1" ht="12">
      <c r="A165" s="58"/>
      <c r="C165" s="49" t="s">
        <v>40</v>
      </c>
      <c r="D165" s="308">
        <f>D152</f>
        <v>-6200000</v>
      </c>
      <c r="E165" s="217"/>
      <c r="F165" s="255">
        <f>F164*$D$165</f>
        <v>0</v>
      </c>
      <c r="G165" s="255">
        <f t="shared" ref="G165:AC165" si="48">G164*$D$165</f>
        <v>-20386.919163661405</v>
      </c>
      <c r="H165" s="255">
        <f t="shared" si="48"/>
        <v>-41423.075466100687</v>
      </c>
      <c r="I165" s="255">
        <f t="shared" si="48"/>
        <v>-42072.312604878549</v>
      </c>
      <c r="J165" s="255">
        <f t="shared" si="48"/>
        <v>-42721.549743656433</v>
      </c>
      <c r="K165" s="255">
        <f t="shared" si="48"/>
        <v>-43370.78688243428</v>
      </c>
      <c r="L165" s="255">
        <f t="shared" si="48"/>
        <v>-44020.024021212172</v>
      </c>
      <c r="M165" s="255">
        <f t="shared" si="48"/>
        <v>-44669.261159990034</v>
      </c>
      <c r="N165" s="255">
        <f t="shared" si="48"/>
        <v>-45475.234469967676</v>
      </c>
      <c r="O165" s="255">
        <f t="shared" si="48"/>
        <v>-46281.207779945311</v>
      </c>
      <c r="P165" s="255">
        <f t="shared" si="48"/>
        <v>-47087.181089922953</v>
      </c>
      <c r="Q165" s="255">
        <f t="shared" si="48"/>
        <v>-47893.154399900595</v>
      </c>
      <c r="R165" s="255">
        <f t="shared" si="48"/>
        <v>-48699.127709878238</v>
      </c>
      <c r="S165" s="255">
        <f t="shared" si="48"/>
        <v>-49505.10101985588</v>
      </c>
      <c r="T165" s="255">
        <f t="shared" si="48"/>
        <v>-50311.074329833507</v>
      </c>
      <c r="U165" s="255">
        <f t="shared" si="48"/>
        <v>-51117.04763981115</v>
      </c>
      <c r="V165" s="255">
        <f t="shared" si="48"/>
        <v>-51923.020949788784</v>
      </c>
      <c r="W165" s="255">
        <f t="shared" si="48"/>
        <v>-52728.994259766427</v>
      </c>
      <c r="X165" s="255">
        <f t="shared" si="48"/>
        <v>-53680.390632768911</v>
      </c>
      <c r="Y165" s="255">
        <f t="shared" si="48"/>
        <v>-54631.787005771417</v>
      </c>
      <c r="Z165" s="255">
        <f t="shared" si="48"/>
        <v>-55583.183378773909</v>
      </c>
      <c r="AA165" s="255">
        <f t="shared" si="48"/>
        <v>-56534.579751776393</v>
      </c>
      <c r="AB165" s="255">
        <f t="shared" si="48"/>
        <v>-57485.976124778892</v>
      </c>
      <c r="AC165" s="268">
        <f t="shared" si="48"/>
        <v>-58437.372497781398</v>
      </c>
      <c r="AD165" s="346">
        <f t="shared" si="31"/>
        <v>-1106038.3620822548</v>
      </c>
    </row>
    <row r="166" spans="1:30" s="110" customFormat="1" ht="12">
      <c r="A166" s="58"/>
      <c r="C166" s="78" t="s">
        <v>543</v>
      </c>
      <c r="D166" s="210">
        <f>'Mode Operating Assumptions'!$D$196</f>
        <v>8.7375046258002826E-6</v>
      </c>
      <c r="E166" s="217"/>
      <c r="F166" s="55">
        <f t="shared" ref="F166:AC166" si="49">$D$166*(F$16+F$17)</f>
        <v>0</v>
      </c>
      <c r="G166" s="55">
        <f t="shared" si="49"/>
        <v>0.1534551216006281</v>
      </c>
      <c r="H166" s="55">
        <f t="shared" si="49"/>
        <v>0.31179713970969908</v>
      </c>
      <c r="I166" s="55">
        <f t="shared" si="49"/>
        <v>0.31668403621814178</v>
      </c>
      <c r="J166" s="55">
        <f t="shared" si="49"/>
        <v>0.32157093272658466</v>
      </c>
      <c r="K166" s="55">
        <f t="shared" si="49"/>
        <v>0.32645782923502725</v>
      </c>
      <c r="L166" s="55">
        <f t="shared" si="49"/>
        <v>0.33134472574347018</v>
      </c>
      <c r="M166" s="55">
        <f t="shared" si="49"/>
        <v>0.33623162225191289</v>
      </c>
      <c r="N166" s="55">
        <f t="shared" si="49"/>
        <v>0.34229829330194256</v>
      </c>
      <c r="O166" s="55">
        <f t="shared" si="49"/>
        <v>0.34836496435197217</v>
      </c>
      <c r="P166" s="55">
        <f t="shared" si="49"/>
        <v>0.35443163540200184</v>
      </c>
      <c r="Q166" s="55">
        <f t="shared" si="49"/>
        <v>0.36049830645203151</v>
      </c>
      <c r="R166" s="55">
        <f t="shared" si="49"/>
        <v>0.36656497750206113</v>
      </c>
      <c r="S166" s="55">
        <f t="shared" si="49"/>
        <v>0.37263164855209086</v>
      </c>
      <c r="T166" s="55">
        <f t="shared" si="49"/>
        <v>0.37869831960212047</v>
      </c>
      <c r="U166" s="55">
        <f t="shared" si="49"/>
        <v>0.38476499065215014</v>
      </c>
      <c r="V166" s="55">
        <f t="shared" si="49"/>
        <v>0.39083166170217976</v>
      </c>
      <c r="W166" s="55">
        <f t="shared" si="49"/>
        <v>0.39689833275220943</v>
      </c>
      <c r="X166" s="55">
        <f t="shared" si="49"/>
        <v>0.40405962303533</v>
      </c>
      <c r="Y166" s="55">
        <f t="shared" si="49"/>
        <v>0.41122091331845062</v>
      </c>
      <c r="Z166" s="55">
        <f t="shared" si="49"/>
        <v>0.4183822036015713</v>
      </c>
      <c r="AA166" s="55">
        <f t="shared" si="49"/>
        <v>0.42554349388469187</v>
      </c>
      <c r="AB166" s="55">
        <f t="shared" si="49"/>
        <v>0.43270478416781255</v>
      </c>
      <c r="AC166" s="270">
        <f t="shared" si="49"/>
        <v>0.43986607445093323</v>
      </c>
      <c r="AD166" s="353">
        <f t="shared" si="31"/>
        <v>8.3253016302150122</v>
      </c>
    </row>
    <row r="167" spans="1:30" s="110" customFormat="1" ht="12">
      <c r="A167" s="58"/>
      <c r="C167" s="49" t="s">
        <v>41</v>
      </c>
      <c r="D167" s="308">
        <f>D154</f>
        <v>-291400</v>
      </c>
      <c r="E167" s="217"/>
      <c r="F167" s="255">
        <f>F166*$D$167</f>
        <v>0</v>
      </c>
      <c r="G167" s="255">
        <f t="shared" ref="G167:AC167" si="50">G166*$D$167</f>
        <v>-44716.822434423026</v>
      </c>
      <c r="H167" s="255">
        <f t="shared" si="50"/>
        <v>-90857.686511406311</v>
      </c>
      <c r="I167" s="255">
        <f t="shared" si="50"/>
        <v>-92281.728153966513</v>
      </c>
      <c r="J167" s="255">
        <f t="shared" si="50"/>
        <v>-93705.769796526773</v>
      </c>
      <c r="K167" s="255">
        <f t="shared" si="50"/>
        <v>-95129.811439086945</v>
      </c>
      <c r="L167" s="255">
        <f t="shared" si="50"/>
        <v>-96553.853081647205</v>
      </c>
      <c r="M167" s="255">
        <f t="shared" si="50"/>
        <v>-97977.894724207421</v>
      </c>
      <c r="N167" s="255">
        <f t="shared" si="50"/>
        <v>-99745.722668186063</v>
      </c>
      <c r="O167" s="255">
        <f t="shared" si="50"/>
        <v>-101513.55061216469</v>
      </c>
      <c r="P167" s="255">
        <f t="shared" si="50"/>
        <v>-103281.37855614333</v>
      </c>
      <c r="Q167" s="255">
        <f t="shared" si="50"/>
        <v>-105049.20650012199</v>
      </c>
      <c r="R167" s="255">
        <f t="shared" si="50"/>
        <v>-106817.03444410062</v>
      </c>
      <c r="S167" s="255">
        <f t="shared" si="50"/>
        <v>-108584.86238807927</v>
      </c>
      <c r="T167" s="255">
        <f t="shared" si="50"/>
        <v>-110352.6903320579</v>
      </c>
      <c r="U167" s="255">
        <f t="shared" si="50"/>
        <v>-112120.51827603656</v>
      </c>
      <c r="V167" s="255">
        <f t="shared" si="50"/>
        <v>-113888.34622001518</v>
      </c>
      <c r="W167" s="255">
        <f t="shared" si="50"/>
        <v>-115656.17416399383</v>
      </c>
      <c r="X167" s="255">
        <f t="shared" si="50"/>
        <v>-117742.97415249517</v>
      </c>
      <c r="Y167" s="255">
        <f t="shared" si="50"/>
        <v>-119829.77414099651</v>
      </c>
      <c r="Z167" s="255">
        <f t="shared" si="50"/>
        <v>-121916.57412949788</v>
      </c>
      <c r="AA167" s="255">
        <f t="shared" si="50"/>
        <v>-124003.37411799921</v>
      </c>
      <c r="AB167" s="255">
        <f t="shared" si="50"/>
        <v>-126090.17410650058</v>
      </c>
      <c r="AC167" s="268">
        <f t="shared" si="50"/>
        <v>-128176.97409500195</v>
      </c>
      <c r="AD167" s="346">
        <f t="shared" si="31"/>
        <v>-2425992.8950446546</v>
      </c>
    </row>
    <row r="168" spans="1:30" s="110" customFormat="1" ht="12">
      <c r="A168" s="58"/>
      <c r="C168" s="49"/>
      <c r="D168" s="308"/>
      <c r="E168" s="217"/>
      <c r="F168" s="255"/>
      <c r="G168" s="255"/>
      <c r="H168" s="255"/>
      <c r="I168" s="255"/>
      <c r="J168" s="255"/>
      <c r="K168" s="255"/>
      <c r="L168" s="255"/>
      <c r="M168" s="255"/>
      <c r="N168" s="255"/>
      <c r="O168" s="255"/>
      <c r="P168" s="255"/>
      <c r="Q168" s="255"/>
      <c r="R168" s="255"/>
      <c r="S168" s="255"/>
      <c r="T168" s="255"/>
      <c r="U168" s="255"/>
      <c r="V168" s="255"/>
      <c r="W168" s="255"/>
      <c r="X168" s="255"/>
      <c r="Y168" s="255"/>
      <c r="Z168" s="255"/>
      <c r="AA168" s="255"/>
      <c r="AB168" s="255"/>
      <c r="AC168" s="268"/>
      <c r="AD168" s="346"/>
    </row>
    <row r="169" spans="1:30" s="110" customFormat="1" ht="12">
      <c r="A169" s="58"/>
      <c r="B169" s="445" t="s">
        <v>588</v>
      </c>
      <c r="C169" s="78" t="s">
        <v>586</v>
      </c>
      <c r="D169" s="443">
        <v>-0.3</v>
      </c>
      <c r="E169" s="217"/>
      <c r="F169" s="45"/>
      <c r="G169" s="45"/>
      <c r="H169" s="45"/>
      <c r="I169" s="45"/>
      <c r="J169" s="45"/>
      <c r="K169" s="45"/>
      <c r="L169" s="45"/>
      <c r="M169" s="45"/>
      <c r="N169" s="45"/>
      <c r="O169" s="45"/>
      <c r="P169" s="45"/>
      <c r="Q169" s="45"/>
      <c r="R169" s="45"/>
      <c r="S169" s="45"/>
      <c r="T169" s="45"/>
      <c r="U169" s="45"/>
      <c r="V169" s="45"/>
      <c r="W169" s="45"/>
      <c r="X169" s="45"/>
      <c r="Y169" s="45"/>
      <c r="Z169" s="45"/>
      <c r="AA169" s="45"/>
      <c r="AB169" s="45"/>
      <c r="AC169" s="263"/>
      <c r="AD169" s="337"/>
    </row>
    <row r="170" spans="1:30" s="110" customFormat="1" ht="12">
      <c r="A170" s="58"/>
      <c r="C170" s="78" t="s">
        <v>542</v>
      </c>
      <c r="D170" s="210">
        <f>D164*D$169</f>
        <v>-5.6167771999216942E-8</v>
      </c>
      <c r="E170" s="217"/>
      <c r="F170" s="55">
        <f>$D170*(F$15+F$16+F$17)</f>
        <v>0</v>
      </c>
      <c r="G170" s="55">
        <f t="shared" ref="G170:AC170" si="51">$D170*(G$15+G$16+G$17)</f>
        <v>-2.0715740440494651E-2</v>
      </c>
      <c r="H170" s="55">
        <f t="shared" si="51"/>
        <v>-4.2091189586521666E-2</v>
      </c>
      <c r="I170" s="55">
        <f t="shared" si="51"/>
        <v>-4.2750898292054008E-2</v>
      </c>
      <c r="J170" s="55">
        <f t="shared" si="51"/>
        <v>-4.3410606997586365E-2</v>
      </c>
      <c r="K170" s="55">
        <f t="shared" si="51"/>
        <v>-4.4070315703118708E-2</v>
      </c>
      <c r="L170" s="55">
        <f t="shared" si="51"/>
        <v>-4.4730024408651071E-2</v>
      </c>
      <c r="M170" s="55">
        <f t="shared" si="51"/>
        <v>-4.5389733114183421E-2</v>
      </c>
      <c r="N170" s="55">
        <f t="shared" si="51"/>
        <v>-4.6208705993676831E-2</v>
      </c>
      <c r="O170" s="55">
        <f t="shared" si="51"/>
        <v>-4.7027678873170234E-2</v>
      </c>
      <c r="P170" s="55">
        <f t="shared" si="51"/>
        <v>-4.7846651752663637E-2</v>
      </c>
      <c r="Q170" s="55">
        <f t="shared" si="51"/>
        <v>-4.8665624632157047E-2</v>
      </c>
      <c r="R170" s="55">
        <f t="shared" si="51"/>
        <v>-4.9484597511650449E-2</v>
      </c>
      <c r="S170" s="55">
        <f t="shared" si="51"/>
        <v>-5.0303570391143859E-2</v>
      </c>
      <c r="T170" s="55">
        <f t="shared" si="51"/>
        <v>-5.1122543270637262E-2</v>
      </c>
      <c r="U170" s="55">
        <f t="shared" si="51"/>
        <v>-5.1941516150130679E-2</v>
      </c>
      <c r="V170" s="55">
        <f t="shared" si="51"/>
        <v>-5.2760489029624082E-2</v>
      </c>
      <c r="W170" s="55">
        <f t="shared" si="51"/>
        <v>-5.3579461909117491E-2</v>
      </c>
      <c r="X170" s="55">
        <f t="shared" si="51"/>
        <v>-5.4546203384910341E-2</v>
      </c>
      <c r="Y170" s="55">
        <f t="shared" si="51"/>
        <v>-5.5512944860703191E-2</v>
      </c>
      <c r="Z170" s="55">
        <f t="shared" si="51"/>
        <v>-5.6479686336496061E-2</v>
      </c>
      <c r="AA170" s="55">
        <f t="shared" si="51"/>
        <v>-5.7446427812288904E-2</v>
      </c>
      <c r="AB170" s="55">
        <f t="shared" si="51"/>
        <v>-5.8413169288081775E-2</v>
      </c>
      <c r="AC170" s="270">
        <f t="shared" si="51"/>
        <v>-5.9379910763874631E-2</v>
      </c>
      <c r="AD170" s="338">
        <f>SUM(F170:AC170)</f>
        <v>-1.1238776905029362</v>
      </c>
    </row>
    <row r="171" spans="1:30" s="110" customFormat="1" ht="12">
      <c r="A171" s="58"/>
      <c r="B171" s="58"/>
      <c r="C171" s="49" t="s">
        <v>40</v>
      </c>
      <c r="D171" s="308">
        <f>D165</f>
        <v>-6200000</v>
      </c>
      <c r="E171" s="217"/>
      <c r="F171" s="315">
        <f>F170*$D$171</f>
        <v>0</v>
      </c>
      <c r="G171" s="315">
        <f t="shared" ref="G171:AC171" si="52">G170*$D$171</f>
        <v>128437.59073106684</v>
      </c>
      <c r="H171" s="315">
        <f t="shared" si="52"/>
        <v>260965.37543643432</v>
      </c>
      <c r="I171" s="315">
        <f t="shared" si="52"/>
        <v>265055.56941073487</v>
      </c>
      <c r="J171" s="315">
        <f t="shared" si="52"/>
        <v>269145.76338503545</v>
      </c>
      <c r="K171" s="315">
        <f t="shared" si="52"/>
        <v>273235.95735933597</v>
      </c>
      <c r="L171" s="315">
        <f t="shared" si="52"/>
        <v>277326.15133363666</v>
      </c>
      <c r="M171" s="315">
        <f t="shared" si="52"/>
        <v>281416.34530793718</v>
      </c>
      <c r="N171" s="315">
        <f t="shared" si="52"/>
        <v>286493.97716079635</v>
      </c>
      <c r="O171" s="315">
        <f t="shared" si="52"/>
        <v>291571.60901365546</v>
      </c>
      <c r="P171" s="315">
        <f t="shared" si="52"/>
        <v>296649.24086651456</v>
      </c>
      <c r="Q171" s="315">
        <f t="shared" si="52"/>
        <v>301726.87271937367</v>
      </c>
      <c r="R171" s="315">
        <f t="shared" si="52"/>
        <v>306804.50457223278</v>
      </c>
      <c r="S171" s="315">
        <f t="shared" si="52"/>
        <v>311882.13642509194</v>
      </c>
      <c r="T171" s="315">
        <f t="shared" si="52"/>
        <v>316959.76827795105</v>
      </c>
      <c r="U171" s="315">
        <f t="shared" si="52"/>
        <v>322037.40013081022</v>
      </c>
      <c r="V171" s="315">
        <f t="shared" si="52"/>
        <v>327115.03198366932</v>
      </c>
      <c r="W171" s="315">
        <f t="shared" si="52"/>
        <v>332192.66383652843</v>
      </c>
      <c r="X171" s="315">
        <f t="shared" si="52"/>
        <v>338186.46098644409</v>
      </c>
      <c r="Y171" s="315">
        <f t="shared" si="52"/>
        <v>344180.2581363598</v>
      </c>
      <c r="Z171" s="315">
        <f t="shared" si="52"/>
        <v>350174.05528627557</v>
      </c>
      <c r="AA171" s="315">
        <f t="shared" si="52"/>
        <v>356167.85243619123</v>
      </c>
      <c r="AB171" s="315">
        <f t="shared" si="52"/>
        <v>362161.649586107</v>
      </c>
      <c r="AC171" s="390">
        <f t="shared" si="52"/>
        <v>368155.44673602271</v>
      </c>
      <c r="AD171" s="359">
        <f>SUM(F171:AC171)</f>
        <v>6968041.6811182043</v>
      </c>
    </row>
    <row r="172" spans="1:30" s="110" customFormat="1" ht="12">
      <c r="A172" s="58"/>
      <c r="B172" s="58"/>
      <c r="C172" s="78" t="s">
        <v>543</v>
      </c>
      <c r="D172" s="210">
        <f>D166*D$169</f>
        <v>-2.6212513877400846E-6</v>
      </c>
      <c r="E172" s="217"/>
      <c r="F172" s="55">
        <f>$D172*(F$15+F$16+F$17)</f>
        <v>0</v>
      </c>
      <c r="G172" s="55">
        <f t="shared" ref="G172:AC172" si="53">$D172*(G$15+G$16+G$17)</f>
        <v>-0.96676726608395702</v>
      </c>
      <c r="H172" s="55">
        <f t="shared" si="53"/>
        <v>-1.9643219801711043</v>
      </c>
      <c r="I172" s="55">
        <f t="shared" si="53"/>
        <v>-1.9951094281742929</v>
      </c>
      <c r="J172" s="55">
        <f t="shared" si="53"/>
        <v>-2.0258968761774825</v>
      </c>
      <c r="K172" s="55">
        <f t="shared" si="53"/>
        <v>-2.0566843241806718</v>
      </c>
      <c r="L172" s="55">
        <f t="shared" si="53"/>
        <v>-2.087471772183862</v>
      </c>
      <c r="M172" s="55">
        <f t="shared" si="53"/>
        <v>-2.1182592201870514</v>
      </c>
      <c r="N172" s="55">
        <f t="shared" si="53"/>
        <v>-2.1564792478022379</v>
      </c>
      <c r="O172" s="55">
        <f t="shared" si="53"/>
        <v>-2.1946992754174248</v>
      </c>
      <c r="P172" s="55">
        <f t="shared" si="53"/>
        <v>-2.2329193030326113</v>
      </c>
      <c r="Q172" s="55">
        <f t="shared" si="53"/>
        <v>-2.2711393306477978</v>
      </c>
      <c r="R172" s="55">
        <f t="shared" si="53"/>
        <v>-2.3093593582629848</v>
      </c>
      <c r="S172" s="55">
        <f t="shared" si="53"/>
        <v>-2.3475793858781717</v>
      </c>
      <c r="T172" s="55">
        <f t="shared" si="53"/>
        <v>-2.3857994134933582</v>
      </c>
      <c r="U172" s="55">
        <f t="shared" si="53"/>
        <v>-2.4240194411085456</v>
      </c>
      <c r="V172" s="55">
        <f t="shared" si="53"/>
        <v>-2.4622394687237317</v>
      </c>
      <c r="W172" s="55">
        <f t="shared" si="53"/>
        <v>-2.5004594963389191</v>
      </c>
      <c r="X172" s="55">
        <f t="shared" si="53"/>
        <v>-2.5455756251225785</v>
      </c>
      <c r="Y172" s="55">
        <f t="shared" si="53"/>
        <v>-2.5906917539062384</v>
      </c>
      <c r="Z172" s="55">
        <f t="shared" si="53"/>
        <v>-2.6358078826898987</v>
      </c>
      <c r="AA172" s="55">
        <f t="shared" si="53"/>
        <v>-2.6809240114735582</v>
      </c>
      <c r="AB172" s="55">
        <f t="shared" si="53"/>
        <v>-2.726040140257219</v>
      </c>
      <c r="AC172" s="270">
        <f t="shared" si="53"/>
        <v>-2.7711562690408789</v>
      </c>
      <c r="AD172" s="338">
        <f>SUM(F172:AC172)</f>
        <v>-52.449400270354587</v>
      </c>
    </row>
    <row r="173" spans="1:30" s="110" customFormat="1" ht="12">
      <c r="A173" s="58"/>
      <c r="B173" s="58"/>
      <c r="C173" s="49" t="s">
        <v>41</v>
      </c>
      <c r="D173" s="308">
        <f>D167</f>
        <v>-291400</v>
      </c>
      <c r="E173" s="217"/>
      <c r="F173" s="315">
        <f>F172*$D$173</f>
        <v>0</v>
      </c>
      <c r="G173" s="315">
        <f t="shared" ref="G173:AC173" si="54">G172*$D$173</f>
        <v>281715.98133686505</v>
      </c>
      <c r="H173" s="315">
        <f t="shared" si="54"/>
        <v>572403.42502185982</v>
      </c>
      <c r="I173" s="315">
        <f t="shared" si="54"/>
        <v>581374.88736998895</v>
      </c>
      <c r="J173" s="315">
        <f t="shared" si="54"/>
        <v>590346.34971811844</v>
      </c>
      <c r="K173" s="315">
        <f t="shared" si="54"/>
        <v>599317.8120662478</v>
      </c>
      <c r="L173" s="315">
        <f t="shared" si="54"/>
        <v>608289.2744143774</v>
      </c>
      <c r="M173" s="315">
        <f t="shared" si="54"/>
        <v>617260.73676250677</v>
      </c>
      <c r="N173" s="315">
        <f t="shared" si="54"/>
        <v>628398.05280957208</v>
      </c>
      <c r="O173" s="315">
        <f t="shared" si="54"/>
        <v>639535.36885663762</v>
      </c>
      <c r="P173" s="315">
        <f t="shared" si="54"/>
        <v>650672.68490370293</v>
      </c>
      <c r="Q173" s="315">
        <f t="shared" si="54"/>
        <v>661810.00095076824</v>
      </c>
      <c r="R173" s="315">
        <f t="shared" si="54"/>
        <v>672947.31699783378</v>
      </c>
      <c r="S173" s="315">
        <f t="shared" si="54"/>
        <v>684084.63304489921</v>
      </c>
      <c r="T173" s="315">
        <f t="shared" si="54"/>
        <v>695221.94909196463</v>
      </c>
      <c r="U173" s="315">
        <f t="shared" si="54"/>
        <v>706359.26513903018</v>
      </c>
      <c r="V173" s="315">
        <f t="shared" si="54"/>
        <v>717496.58118609537</v>
      </c>
      <c r="W173" s="315">
        <f t="shared" si="54"/>
        <v>728633.89723316103</v>
      </c>
      <c r="X173" s="315">
        <f t="shared" si="54"/>
        <v>741780.73716071935</v>
      </c>
      <c r="Y173" s="315">
        <f t="shared" si="54"/>
        <v>754927.5770882779</v>
      </c>
      <c r="Z173" s="315">
        <f t="shared" si="54"/>
        <v>768074.41701583646</v>
      </c>
      <c r="AA173" s="315">
        <f t="shared" si="54"/>
        <v>781221.2569433949</v>
      </c>
      <c r="AB173" s="315">
        <f t="shared" si="54"/>
        <v>794368.09687095357</v>
      </c>
      <c r="AC173" s="390">
        <f t="shared" si="54"/>
        <v>807514.93679851212</v>
      </c>
      <c r="AD173" s="359">
        <f>SUM(F173:AC173)</f>
        <v>15283755.238781324</v>
      </c>
    </row>
    <row r="174" spans="1:30" s="110" customFormat="1" ht="12">
      <c r="A174" s="58"/>
      <c r="B174" s="58"/>
      <c r="C174" s="49"/>
      <c r="D174" s="210"/>
      <c r="E174" s="217"/>
      <c r="F174" s="255"/>
      <c r="G174" s="255"/>
      <c r="H174" s="255"/>
      <c r="I174" s="255"/>
      <c r="J174" s="255"/>
      <c r="K174" s="255"/>
      <c r="L174" s="255"/>
      <c r="M174" s="255"/>
      <c r="N174" s="255"/>
      <c r="O174" s="255"/>
      <c r="P174" s="255"/>
      <c r="Q174" s="255"/>
      <c r="R174" s="255"/>
      <c r="S174" s="255"/>
      <c r="T174" s="255"/>
      <c r="U174" s="255"/>
      <c r="V174" s="255"/>
      <c r="W174" s="255"/>
      <c r="X174" s="255"/>
      <c r="Y174" s="255"/>
      <c r="Z174" s="255"/>
      <c r="AA174" s="255"/>
      <c r="AB174" s="255"/>
      <c r="AC174" s="268"/>
      <c r="AD174" s="346"/>
    </row>
    <row r="175" spans="1:30" s="110" customFormat="1" ht="12">
      <c r="A175" s="58"/>
      <c r="B175" s="58" t="s">
        <v>528</v>
      </c>
      <c r="C175" s="78" t="s">
        <v>581</v>
      </c>
      <c r="D175" s="210"/>
      <c r="E175" s="217"/>
      <c r="AC175" s="262"/>
      <c r="AD175" s="337"/>
    </row>
    <row r="176" spans="1:30" s="110" customFormat="1" ht="12">
      <c r="A176" s="58"/>
      <c r="B176" s="58"/>
      <c r="C176" s="78" t="s">
        <v>542</v>
      </c>
      <c r="D176" s="210">
        <f>'Mode Operating Assumptions'!$D$184</f>
        <v>8.6836127924972328E-9</v>
      </c>
      <c r="E176" s="217"/>
      <c r="F176" s="55">
        <f>$D176*F$23</f>
        <v>0</v>
      </c>
      <c r="G176" s="55">
        <f t="shared" ref="G176:AC176" si="55">$D176*G$23</f>
        <v>-8.6232921345783388E-4</v>
      </c>
      <c r="H176" s="55">
        <f t="shared" si="55"/>
        <v>-1.7521199647152514E-3</v>
      </c>
      <c r="I176" s="55">
        <f t="shared" si="55"/>
        <v>-1.7795815025148346E-3</v>
      </c>
      <c r="J176" s="55">
        <f t="shared" si="55"/>
        <v>-1.807043040314418E-3</v>
      </c>
      <c r="K176" s="55">
        <f t="shared" si="55"/>
        <v>-1.8345045781140009E-3</v>
      </c>
      <c r="L176" s="55">
        <f t="shared" si="55"/>
        <v>-1.8619661159135846E-3</v>
      </c>
      <c r="M176" s="55">
        <f t="shared" si="55"/>
        <v>-1.8894276537131675E-3</v>
      </c>
      <c r="N176" s="55">
        <f t="shared" si="55"/>
        <v>-1.923518843504112E-3</v>
      </c>
      <c r="O176" s="55">
        <f t="shared" si="55"/>
        <v>-1.9576100332950562E-3</v>
      </c>
      <c r="P176" s="55">
        <f t="shared" si="55"/>
        <v>-1.9917012230860013E-3</v>
      </c>
      <c r="Q176" s="55">
        <f t="shared" si="55"/>
        <v>-2.0257924128769455E-3</v>
      </c>
      <c r="R176" s="55">
        <f t="shared" si="55"/>
        <v>-2.0598836026678898E-3</v>
      </c>
      <c r="S176" s="55">
        <f t="shared" si="55"/>
        <v>-2.0939747924588344E-3</v>
      </c>
      <c r="T176" s="55">
        <f t="shared" si="55"/>
        <v>-2.1280659822497791E-3</v>
      </c>
      <c r="U176" s="55">
        <f t="shared" si="55"/>
        <v>-2.1621571720407237E-3</v>
      </c>
      <c r="V176" s="55">
        <f t="shared" si="55"/>
        <v>-2.196248361831668E-3</v>
      </c>
      <c r="W176" s="55">
        <f t="shared" si="55"/>
        <v>-2.2303395516226126E-3</v>
      </c>
      <c r="X176" s="55">
        <f t="shared" si="55"/>
        <v>-2.2705818697203962E-3</v>
      </c>
      <c r="Y176" s="55">
        <f t="shared" si="55"/>
        <v>-2.3108241878181807E-3</v>
      </c>
      <c r="Z176" s="55">
        <f t="shared" si="55"/>
        <v>-2.3510665059159651E-3</v>
      </c>
      <c r="AA176" s="55">
        <f t="shared" si="55"/>
        <v>-2.3913088240137491E-3</v>
      </c>
      <c r="AB176" s="55">
        <f t="shared" si="55"/>
        <v>-2.4315511421115336E-3</v>
      </c>
      <c r="AC176" s="270">
        <f t="shared" si="55"/>
        <v>-2.4717934602093185E-3</v>
      </c>
      <c r="AD176" s="353">
        <f t="shared" si="31"/>
        <v>-4.6783390034165859E-2</v>
      </c>
    </row>
    <row r="177" spans="1:30" s="110" customFormat="1" ht="12">
      <c r="A177" s="58"/>
      <c r="B177" s="58"/>
      <c r="C177" s="49" t="s">
        <v>40</v>
      </c>
      <c r="D177" s="308">
        <f>D165</f>
        <v>-6200000</v>
      </c>
      <c r="E177" s="217"/>
      <c r="F177" s="255">
        <f>F176*$D$177</f>
        <v>0</v>
      </c>
      <c r="G177" s="255">
        <f t="shared" ref="G177:AC177" si="56">G176*$D$177</f>
        <v>5346.4411234385698</v>
      </c>
      <c r="H177" s="255">
        <f t="shared" si="56"/>
        <v>10863.143781234559</v>
      </c>
      <c r="I177" s="255">
        <f t="shared" si="56"/>
        <v>11033.405315591974</v>
      </c>
      <c r="J177" s="255">
        <f t="shared" si="56"/>
        <v>11203.666849949392</v>
      </c>
      <c r="K177" s="255">
        <f t="shared" si="56"/>
        <v>11373.928384306806</v>
      </c>
      <c r="L177" s="255">
        <f t="shared" si="56"/>
        <v>11544.189918664224</v>
      </c>
      <c r="M177" s="255">
        <f t="shared" si="56"/>
        <v>11714.451453021638</v>
      </c>
      <c r="N177" s="255">
        <f t="shared" si="56"/>
        <v>11925.816829725494</v>
      </c>
      <c r="O177" s="255">
        <f t="shared" si="56"/>
        <v>12137.182206429348</v>
      </c>
      <c r="P177" s="255">
        <f t="shared" si="56"/>
        <v>12348.547583133208</v>
      </c>
      <c r="Q177" s="255">
        <f t="shared" si="56"/>
        <v>12559.912959837062</v>
      </c>
      <c r="R177" s="255">
        <f t="shared" si="56"/>
        <v>12771.278336540916</v>
      </c>
      <c r="S177" s="255">
        <f t="shared" si="56"/>
        <v>12982.643713244774</v>
      </c>
      <c r="T177" s="255">
        <f t="shared" si="56"/>
        <v>13194.009089948629</v>
      </c>
      <c r="U177" s="255">
        <f t="shared" si="56"/>
        <v>13405.374466652487</v>
      </c>
      <c r="V177" s="255">
        <f t="shared" si="56"/>
        <v>13616.739843356341</v>
      </c>
      <c r="W177" s="255">
        <f t="shared" si="56"/>
        <v>13828.105220060199</v>
      </c>
      <c r="X177" s="255">
        <f t="shared" si="56"/>
        <v>14077.607592266457</v>
      </c>
      <c r="Y177" s="255">
        <f t="shared" si="56"/>
        <v>14327.10996447272</v>
      </c>
      <c r="Z177" s="255">
        <f t="shared" si="56"/>
        <v>14576.612336678983</v>
      </c>
      <c r="AA177" s="255">
        <f t="shared" si="56"/>
        <v>14826.114708885245</v>
      </c>
      <c r="AB177" s="255">
        <f t="shared" si="56"/>
        <v>15075.617081091508</v>
      </c>
      <c r="AC177" s="268">
        <f t="shared" si="56"/>
        <v>15325.119453297775</v>
      </c>
      <c r="AD177" s="346">
        <f t="shared" ref="AD177:AD191" si="57">SUM(F177:AC177)</f>
        <v>290057.01821182825</v>
      </c>
    </row>
    <row r="178" spans="1:30" s="110" customFormat="1" ht="12">
      <c r="A178" s="58"/>
      <c r="B178" s="58"/>
      <c r="C178" s="78" t="s">
        <v>543</v>
      </c>
      <c r="D178" s="210">
        <f>'Mode Operating Assumptions'!$D$185</f>
        <v>8.1339537419145546E-7</v>
      </c>
      <c r="E178" s="217"/>
      <c r="F178" s="55">
        <f>$D178*F$23</f>
        <v>0</v>
      </c>
      <c r="G178" s="55">
        <f t="shared" ref="G178:AC178" si="58">$D178*G$23</f>
        <v>-8.0774512868974385E-2</v>
      </c>
      <c r="H178" s="55">
        <f t="shared" si="58"/>
        <v>-0.16412135229696631</v>
      </c>
      <c r="I178" s="55">
        <f t="shared" si="58"/>
        <v>-0.1666936788559838</v>
      </c>
      <c r="J178" s="55">
        <f t="shared" si="58"/>
        <v>-0.16926600541500134</v>
      </c>
      <c r="K178" s="55">
        <f t="shared" si="58"/>
        <v>-0.17183833197401879</v>
      </c>
      <c r="L178" s="55">
        <f t="shared" si="58"/>
        <v>-0.17441065853303636</v>
      </c>
      <c r="M178" s="55">
        <f t="shared" si="58"/>
        <v>-0.17698298509205382</v>
      </c>
      <c r="N178" s="55">
        <f t="shared" si="58"/>
        <v>-0.18017631219440874</v>
      </c>
      <c r="O178" s="55">
        <f t="shared" si="58"/>
        <v>-0.18336963929676361</v>
      </c>
      <c r="P178" s="55">
        <f t="shared" si="58"/>
        <v>-0.18656296639911857</v>
      </c>
      <c r="Q178" s="55">
        <f t="shared" si="58"/>
        <v>-0.18975629350147347</v>
      </c>
      <c r="R178" s="55">
        <f t="shared" si="58"/>
        <v>-0.19294962060382836</v>
      </c>
      <c r="S178" s="55">
        <f t="shared" si="58"/>
        <v>-0.19614294770618329</v>
      </c>
      <c r="T178" s="55">
        <f t="shared" si="58"/>
        <v>-0.19933627480853819</v>
      </c>
      <c r="U178" s="55">
        <f t="shared" si="58"/>
        <v>-0.20252960191089311</v>
      </c>
      <c r="V178" s="55">
        <f t="shared" si="58"/>
        <v>-0.20572292901324801</v>
      </c>
      <c r="W178" s="55">
        <f t="shared" si="58"/>
        <v>-0.20891625611560294</v>
      </c>
      <c r="X178" s="55">
        <f t="shared" si="58"/>
        <v>-0.21268576037260531</v>
      </c>
      <c r="Y178" s="55">
        <f t="shared" si="58"/>
        <v>-0.21645526462960771</v>
      </c>
      <c r="Z178" s="55">
        <f t="shared" si="58"/>
        <v>-0.22022476888661011</v>
      </c>
      <c r="AA178" s="55">
        <f t="shared" si="58"/>
        <v>-0.2239942731436125</v>
      </c>
      <c r="AB178" s="55">
        <f t="shared" si="58"/>
        <v>-0.2277637774006149</v>
      </c>
      <c r="AC178" s="270">
        <f t="shared" si="58"/>
        <v>-0.23153328165761736</v>
      </c>
      <c r="AD178" s="353">
        <f t="shared" si="57"/>
        <v>-4.3822074926767609</v>
      </c>
    </row>
    <row r="179" spans="1:30" s="110" customFormat="1" ht="12">
      <c r="A179" s="58"/>
      <c r="B179" s="58"/>
      <c r="C179" s="49" t="s">
        <v>41</v>
      </c>
      <c r="D179" s="308">
        <f>D167</f>
        <v>-291400</v>
      </c>
      <c r="E179" s="217"/>
      <c r="F179" s="255">
        <f>F178*$D$179</f>
        <v>0</v>
      </c>
      <c r="G179" s="255">
        <f t="shared" ref="G179:AC179" si="59">G178*$D$179</f>
        <v>23537.693050019137</v>
      </c>
      <c r="H179" s="255">
        <f t="shared" si="59"/>
        <v>47824.96205933598</v>
      </c>
      <c r="I179" s="255">
        <f t="shared" si="59"/>
        <v>48574.538018633677</v>
      </c>
      <c r="J179" s="255">
        <f t="shared" si="59"/>
        <v>49324.113977931389</v>
      </c>
      <c r="K179" s="255">
        <f t="shared" si="59"/>
        <v>50073.689937229079</v>
      </c>
      <c r="L179" s="255">
        <f t="shared" si="59"/>
        <v>50823.265896526798</v>
      </c>
      <c r="M179" s="255">
        <f t="shared" si="59"/>
        <v>51572.841855824481</v>
      </c>
      <c r="N179" s="255">
        <f t="shared" si="59"/>
        <v>52503.377373450705</v>
      </c>
      <c r="O179" s="255">
        <f t="shared" si="59"/>
        <v>53433.912891076914</v>
      </c>
      <c r="P179" s="255">
        <f t="shared" si="59"/>
        <v>54364.448408703152</v>
      </c>
      <c r="Q179" s="255">
        <f t="shared" si="59"/>
        <v>55294.983926329369</v>
      </c>
      <c r="R179" s="255">
        <f t="shared" si="59"/>
        <v>56225.519443955585</v>
      </c>
      <c r="S179" s="255">
        <f t="shared" si="59"/>
        <v>57156.054961581809</v>
      </c>
      <c r="T179" s="255">
        <f t="shared" si="59"/>
        <v>58086.590479208025</v>
      </c>
      <c r="U179" s="255">
        <f t="shared" si="59"/>
        <v>59017.125996834257</v>
      </c>
      <c r="V179" s="255">
        <f t="shared" si="59"/>
        <v>59947.661514460473</v>
      </c>
      <c r="W179" s="255">
        <f t="shared" si="59"/>
        <v>60878.197032086697</v>
      </c>
      <c r="X179" s="255">
        <f t="shared" si="59"/>
        <v>61976.630572577189</v>
      </c>
      <c r="Y179" s="255">
        <f t="shared" si="59"/>
        <v>63075.064113067689</v>
      </c>
      <c r="Z179" s="255">
        <f t="shared" si="59"/>
        <v>64173.497653558188</v>
      </c>
      <c r="AA179" s="255">
        <f t="shared" si="59"/>
        <v>65271.93119404868</v>
      </c>
      <c r="AB179" s="255">
        <f t="shared" si="59"/>
        <v>66370.36473453918</v>
      </c>
      <c r="AC179" s="268">
        <f t="shared" si="59"/>
        <v>67468.798275029694</v>
      </c>
      <c r="AD179" s="346">
        <f t="shared" si="57"/>
        <v>1276975.2633660082</v>
      </c>
    </row>
    <row r="180" spans="1:30" s="110" customFormat="1" ht="12">
      <c r="A180" s="58"/>
      <c r="B180" s="58"/>
      <c r="C180" s="78" t="s">
        <v>554</v>
      </c>
      <c r="D180" s="210">
        <f>'Mode Operating Assumptions'!$D$183</f>
        <v>1.8640215942009768E-6</v>
      </c>
      <c r="E180" s="217"/>
      <c r="F180" s="55">
        <f>$D180*F$23</f>
        <v>0</v>
      </c>
      <c r="G180" s="55">
        <f t="shared" ref="G180:AC180" si="60">$D180*G$23</f>
        <v>-0.18510731807210049</v>
      </c>
      <c r="H180" s="55">
        <f t="shared" si="60"/>
        <v>-0.37610952122159852</v>
      </c>
      <c r="I180" s="55">
        <f t="shared" si="60"/>
        <v>-0.3820044062989959</v>
      </c>
      <c r="J180" s="55">
        <f t="shared" si="60"/>
        <v>-0.38789929137639345</v>
      </c>
      <c r="K180" s="55">
        <f t="shared" si="60"/>
        <v>-0.39379417645379078</v>
      </c>
      <c r="L180" s="55">
        <f t="shared" si="60"/>
        <v>-0.39968906153118838</v>
      </c>
      <c r="M180" s="55">
        <f t="shared" si="60"/>
        <v>-0.40558394660858571</v>
      </c>
      <c r="N180" s="55">
        <f t="shared" si="60"/>
        <v>-0.4129019506998356</v>
      </c>
      <c r="O180" s="55">
        <f t="shared" si="60"/>
        <v>-0.42021995479108543</v>
      </c>
      <c r="P180" s="55">
        <f t="shared" si="60"/>
        <v>-0.42753795888233537</v>
      </c>
      <c r="Q180" s="55">
        <f t="shared" si="60"/>
        <v>-0.43485596297358514</v>
      </c>
      <c r="R180" s="55">
        <f t="shared" si="60"/>
        <v>-0.44217396706483503</v>
      </c>
      <c r="S180" s="55">
        <f t="shared" si="60"/>
        <v>-0.44949197115608491</v>
      </c>
      <c r="T180" s="55">
        <f t="shared" si="60"/>
        <v>-0.4568099752473348</v>
      </c>
      <c r="U180" s="55">
        <f t="shared" si="60"/>
        <v>-0.46412797933858468</v>
      </c>
      <c r="V180" s="55">
        <f t="shared" si="60"/>
        <v>-0.47144598342983451</v>
      </c>
      <c r="W180" s="55">
        <f t="shared" si="60"/>
        <v>-0.4787639875210844</v>
      </c>
      <c r="X180" s="55">
        <f t="shared" si="60"/>
        <v>-0.48740239088238879</v>
      </c>
      <c r="Y180" s="55">
        <f t="shared" si="60"/>
        <v>-0.49604079424369329</v>
      </c>
      <c r="Z180" s="55">
        <f t="shared" si="60"/>
        <v>-0.5046791976049978</v>
      </c>
      <c r="AA180" s="55">
        <f t="shared" si="60"/>
        <v>-0.5133176009663023</v>
      </c>
      <c r="AB180" s="55">
        <f t="shared" si="60"/>
        <v>-0.52195600432760669</v>
      </c>
      <c r="AC180" s="270">
        <f t="shared" si="60"/>
        <v>-0.53059440768891131</v>
      </c>
      <c r="AD180" s="353">
        <f t="shared" si="57"/>
        <v>-10.042507808381155</v>
      </c>
    </row>
    <row r="181" spans="1:30" s="110" customFormat="1" ht="12">
      <c r="A181" s="58"/>
      <c r="B181" s="58"/>
      <c r="C181" s="49" t="s">
        <v>530</v>
      </c>
      <c r="D181" s="308">
        <f>-'Mode Operating Assumptions'!C172</f>
        <v>-3285</v>
      </c>
      <c r="E181" s="217"/>
      <c r="F181" s="255">
        <f>F180*$D$181</f>
        <v>0</v>
      </c>
      <c r="G181" s="255">
        <f t="shared" ref="G181:AC181" si="61">G180*$D$181</f>
        <v>608.07753986685009</v>
      </c>
      <c r="H181" s="255">
        <f t="shared" si="61"/>
        <v>1235.5197772129511</v>
      </c>
      <c r="I181" s="255">
        <f t="shared" si="61"/>
        <v>1254.8844746922016</v>
      </c>
      <c r="J181" s="255">
        <f t="shared" si="61"/>
        <v>1274.2491721714525</v>
      </c>
      <c r="K181" s="255">
        <f t="shared" si="61"/>
        <v>1293.6138696507028</v>
      </c>
      <c r="L181" s="255">
        <f t="shared" si="61"/>
        <v>1312.9785671299539</v>
      </c>
      <c r="M181" s="255">
        <f t="shared" si="61"/>
        <v>1332.343264609204</v>
      </c>
      <c r="N181" s="255">
        <f t="shared" si="61"/>
        <v>1356.38290804896</v>
      </c>
      <c r="O181" s="255">
        <f t="shared" si="61"/>
        <v>1380.4225514887157</v>
      </c>
      <c r="P181" s="255">
        <f t="shared" si="61"/>
        <v>1404.4621949284717</v>
      </c>
      <c r="Q181" s="255">
        <f t="shared" si="61"/>
        <v>1428.5018383682273</v>
      </c>
      <c r="R181" s="255">
        <f t="shared" si="61"/>
        <v>1452.541481807983</v>
      </c>
      <c r="S181" s="255">
        <f t="shared" si="61"/>
        <v>1476.581125247739</v>
      </c>
      <c r="T181" s="255">
        <f t="shared" si="61"/>
        <v>1500.6207686874948</v>
      </c>
      <c r="U181" s="255">
        <f t="shared" si="61"/>
        <v>1524.6604121272508</v>
      </c>
      <c r="V181" s="255">
        <f t="shared" si="61"/>
        <v>1548.7000555670063</v>
      </c>
      <c r="W181" s="255">
        <f t="shared" si="61"/>
        <v>1572.7396990067623</v>
      </c>
      <c r="X181" s="255">
        <f t="shared" si="61"/>
        <v>1601.1168540486472</v>
      </c>
      <c r="Y181" s="255">
        <f t="shared" si="61"/>
        <v>1629.4940090905325</v>
      </c>
      <c r="Z181" s="255">
        <f t="shared" si="61"/>
        <v>1657.8711641324178</v>
      </c>
      <c r="AA181" s="255">
        <f t="shared" si="61"/>
        <v>1686.2483191743031</v>
      </c>
      <c r="AB181" s="255">
        <f t="shared" si="61"/>
        <v>1714.625474216188</v>
      </c>
      <c r="AC181" s="268">
        <f t="shared" si="61"/>
        <v>1743.0026292580737</v>
      </c>
      <c r="AD181" s="346">
        <f t="shared" si="57"/>
        <v>32989.63815053209</v>
      </c>
    </row>
    <row r="182" spans="1:30" s="110" customFormat="1" ht="12">
      <c r="A182" s="58"/>
      <c r="B182" s="58"/>
      <c r="D182" s="308"/>
      <c r="E182" s="217"/>
      <c r="F182" s="255"/>
      <c r="G182" s="255"/>
      <c r="H182" s="255"/>
      <c r="I182" s="255"/>
      <c r="J182" s="255"/>
      <c r="K182" s="255"/>
      <c r="L182" s="255"/>
      <c r="M182" s="255"/>
      <c r="N182" s="255"/>
      <c r="O182" s="255"/>
      <c r="P182" s="255"/>
      <c r="Q182" s="255"/>
      <c r="R182" s="255"/>
      <c r="S182" s="255"/>
      <c r="T182" s="255"/>
      <c r="U182" s="255"/>
      <c r="V182" s="255"/>
      <c r="W182" s="255"/>
      <c r="X182" s="255"/>
      <c r="Y182" s="255"/>
      <c r="Z182" s="255"/>
      <c r="AA182" s="255"/>
      <c r="AB182" s="255"/>
      <c r="AC182" s="268"/>
      <c r="AD182" s="346"/>
    </row>
    <row r="183" spans="1:30" s="5" customFormat="1" ht="12">
      <c r="A183" s="58"/>
      <c r="B183" s="58"/>
      <c r="C183" s="295" t="s">
        <v>520</v>
      </c>
      <c r="D183" s="212"/>
      <c r="E183" s="220"/>
      <c r="F183" s="83">
        <f>F171+F173+F152+F154+F165+F158+F160+F167+F177+F179+F181</f>
        <v>0</v>
      </c>
      <c r="G183" s="83">
        <f t="shared" ref="G183:AC183" si="62">G171+G173+G152+G154+G165+G158+G160+G167+G177+G179+G181</f>
        <v>488044.13605199946</v>
      </c>
      <c r="H183" s="83">
        <f t="shared" si="62"/>
        <v>991630.41341255454</v>
      </c>
      <c r="I183" s="83">
        <f t="shared" si="62"/>
        <v>1007172.5547211093</v>
      </c>
      <c r="J183" s="83">
        <f t="shared" si="62"/>
        <v>1022714.6960296646</v>
      </c>
      <c r="K183" s="83">
        <f t="shared" si="62"/>
        <v>1038256.8373382199</v>
      </c>
      <c r="L183" s="83">
        <f t="shared" si="62"/>
        <v>1053798.9786467755</v>
      </c>
      <c r="M183" s="83">
        <f t="shared" si="62"/>
        <v>1069341.1199553304</v>
      </c>
      <c r="N183" s="83">
        <f t="shared" si="62"/>
        <v>1088635.3813683121</v>
      </c>
      <c r="O183" s="83">
        <f t="shared" si="62"/>
        <v>1107929.6427812935</v>
      </c>
      <c r="P183" s="83">
        <f t="shared" si="62"/>
        <v>1127223.9041942752</v>
      </c>
      <c r="Q183" s="83">
        <f t="shared" si="62"/>
        <v>1146518.1656072563</v>
      </c>
      <c r="R183" s="83">
        <f t="shared" si="62"/>
        <v>1165812.427020238</v>
      </c>
      <c r="S183" s="83">
        <f t="shared" si="62"/>
        <v>1185106.6884332197</v>
      </c>
      <c r="T183" s="83">
        <f t="shared" si="62"/>
        <v>1204400.9498462013</v>
      </c>
      <c r="U183" s="83">
        <f t="shared" si="62"/>
        <v>1223695.2112591832</v>
      </c>
      <c r="V183" s="83">
        <f t="shared" si="62"/>
        <v>1242989.4726721649</v>
      </c>
      <c r="W183" s="83">
        <f t="shared" si="62"/>
        <v>1262283.7340851461</v>
      </c>
      <c r="X183" s="83">
        <f t="shared" si="62"/>
        <v>1285059.2901746917</v>
      </c>
      <c r="Y183" s="83">
        <f t="shared" si="62"/>
        <v>1307834.8462642378</v>
      </c>
      <c r="Z183" s="83">
        <f t="shared" si="62"/>
        <v>1330610.4023537836</v>
      </c>
      <c r="AA183" s="83">
        <f t="shared" si="62"/>
        <v>1353385.9584433294</v>
      </c>
      <c r="AB183" s="83">
        <f t="shared" si="62"/>
        <v>1376161.5145328755</v>
      </c>
      <c r="AC183" s="83">
        <f t="shared" si="62"/>
        <v>1398937.0706224213</v>
      </c>
      <c r="AD183" s="355">
        <f t="shared" si="57"/>
        <v>26477543.395814285</v>
      </c>
    </row>
    <row r="184" spans="1:30" s="110" customFormat="1" ht="12">
      <c r="A184" s="107"/>
      <c r="B184" s="58"/>
      <c r="C184" s="108"/>
      <c r="D184" s="208"/>
      <c r="E184" s="216"/>
      <c r="F184" s="109"/>
      <c r="G184" s="109"/>
      <c r="H184" s="109"/>
      <c r="I184" s="109"/>
      <c r="J184" s="109"/>
      <c r="K184" s="109"/>
      <c r="L184" s="109"/>
      <c r="M184" s="109"/>
      <c r="N184" s="109"/>
      <c r="O184" s="109"/>
      <c r="P184" s="109"/>
      <c r="Q184" s="109"/>
      <c r="R184" s="109"/>
      <c r="S184" s="109"/>
      <c r="T184" s="109"/>
      <c r="U184" s="109"/>
      <c r="V184" s="109"/>
      <c r="W184" s="109"/>
      <c r="X184" s="109"/>
      <c r="Y184" s="109"/>
      <c r="Z184" s="109"/>
      <c r="AC184" s="262"/>
      <c r="AD184" s="337"/>
    </row>
    <row r="185" spans="1:30" s="93" customFormat="1" ht="12">
      <c r="A185" s="93" t="s">
        <v>347</v>
      </c>
      <c r="B185" s="58"/>
      <c r="D185" s="211"/>
      <c r="E185" s="222"/>
      <c r="H185" s="92"/>
      <c r="I185" s="92"/>
      <c r="J185" s="92"/>
      <c r="K185" s="92"/>
      <c r="L185" s="92"/>
      <c r="M185" s="92"/>
      <c r="N185" s="92"/>
      <c r="O185" s="92"/>
      <c r="P185" s="92"/>
      <c r="Q185" s="92"/>
      <c r="R185" s="92"/>
      <c r="S185" s="92"/>
      <c r="T185" s="92"/>
      <c r="U185" s="92"/>
      <c r="V185" s="92"/>
      <c r="W185" s="92"/>
      <c r="X185" s="92"/>
      <c r="Y185" s="92"/>
      <c r="AC185" s="273"/>
      <c r="AD185" s="361"/>
    </row>
    <row r="186" spans="1:30" s="93" customFormat="1" ht="12">
      <c r="B186" s="58"/>
      <c r="D186" s="211"/>
      <c r="E186" s="222"/>
      <c r="H186" s="106"/>
      <c r="I186" s="106"/>
      <c r="J186" s="106"/>
      <c r="K186" s="106"/>
      <c r="L186" s="106"/>
      <c r="M186" s="106"/>
      <c r="N186" s="106"/>
      <c r="O186" s="106"/>
      <c r="P186" s="106"/>
      <c r="Q186" s="106"/>
      <c r="R186" s="106"/>
      <c r="S186" s="106"/>
      <c r="T186" s="106"/>
      <c r="U186" s="106"/>
      <c r="V186" s="106"/>
      <c r="W186" s="106"/>
      <c r="X186" s="106"/>
      <c r="Y186" s="106"/>
      <c r="AC186" s="273"/>
      <c r="AD186" s="361"/>
    </row>
    <row r="187" spans="1:30" s="110" customFormat="1" ht="12">
      <c r="A187" s="91"/>
      <c r="B187" s="58"/>
      <c r="C187" s="291" t="s">
        <v>502</v>
      </c>
      <c r="D187" s="211"/>
      <c r="E187" s="290">
        <f>SUM(F187:AC187)</f>
        <v>23900245.004856709</v>
      </c>
      <c r="F187" s="255">
        <f t="shared" ref="F187:AC187" si="63">F5+F6+F45+F57+F64+F71+F83+F90+F107+F120+F183+F123+F140+F145</f>
        <v>-1614488.9667743067</v>
      </c>
      <c r="G187" s="255">
        <f t="shared" si="63"/>
        <v>-2239872.6811393555</v>
      </c>
      <c r="H187" s="255">
        <f t="shared" si="63"/>
        <v>1016821.9981465631</v>
      </c>
      <c r="I187" s="255">
        <f t="shared" si="63"/>
        <v>1034860.3020139674</v>
      </c>
      <c r="J187" s="255">
        <f t="shared" si="63"/>
        <v>1052938.2653530322</v>
      </c>
      <c r="K187" s="255">
        <f t="shared" si="63"/>
        <v>1070898.3434081343</v>
      </c>
      <c r="L187" s="255">
        <f t="shared" si="63"/>
        <v>1088772.0236397923</v>
      </c>
      <c r="M187" s="255">
        <f t="shared" si="63"/>
        <v>1107021.0041187475</v>
      </c>
      <c r="N187" s="255">
        <f t="shared" si="63"/>
        <v>1130827.4396639434</v>
      </c>
      <c r="O187" s="255">
        <f t="shared" si="63"/>
        <v>1155176.4188023151</v>
      </c>
      <c r="P187" s="255">
        <f t="shared" si="63"/>
        <v>1181920.9066893456</v>
      </c>
      <c r="Q187" s="255">
        <f t="shared" si="63"/>
        <v>1208669.3673428034</v>
      </c>
      <c r="R187" s="255">
        <f t="shared" si="63"/>
        <v>1235440.0377649502</v>
      </c>
      <c r="S187" s="255">
        <f t="shared" si="63"/>
        <v>1262215.2041267559</v>
      </c>
      <c r="T187" s="255">
        <f t="shared" si="63"/>
        <v>1289013.241034759</v>
      </c>
      <c r="U187" s="255">
        <f t="shared" si="63"/>
        <v>1315816.3346561233</v>
      </c>
      <c r="V187" s="255">
        <f t="shared" si="63"/>
        <v>1342642.965924202</v>
      </c>
      <c r="W187" s="255">
        <f t="shared" si="63"/>
        <v>1369578.000181546</v>
      </c>
      <c r="X187" s="255">
        <f t="shared" si="63"/>
        <v>1401248.7493721207</v>
      </c>
      <c r="Y187" s="255">
        <f t="shared" si="63"/>
        <v>1433049.6964004203</v>
      </c>
      <c r="Z187" s="255">
        <f t="shared" si="63"/>
        <v>1465551.5946641373</v>
      </c>
      <c r="AA187" s="255">
        <f t="shared" si="63"/>
        <v>1498106.7265841637</v>
      </c>
      <c r="AB187" s="255">
        <f t="shared" si="63"/>
        <v>1530696.7385338359</v>
      </c>
      <c r="AC187" s="255">
        <f t="shared" si="63"/>
        <v>1563341.294348713</v>
      </c>
      <c r="AD187" s="346">
        <f t="shared" si="57"/>
        <v>23900245.004856709</v>
      </c>
    </row>
    <row r="188" spans="1:30" s="93" customFormat="1" ht="12">
      <c r="A188" s="91"/>
      <c r="B188" s="58"/>
      <c r="C188" s="70" t="s">
        <v>180</v>
      </c>
      <c r="D188" s="211"/>
      <c r="E188" s="218"/>
      <c r="F188" s="106">
        <f>1/1.03</f>
        <v>0.970873786407767</v>
      </c>
      <c r="G188" s="106">
        <f>F188/1.03</f>
        <v>0.94259590913375435</v>
      </c>
      <c r="H188" s="106">
        <f t="shared" ref="H188:AC188" si="64">G188/1.03</f>
        <v>0.9151416593531595</v>
      </c>
      <c r="I188" s="106">
        <f t="shared" si="64"/>
        <v>0.88848704791568878</v>
      </c>
      <c r="J188" s="106">
        <f t="shared" si="64"/>
        <v>0.86260878438416388</v>
      </c>
      <c r="K188" s="106">
        <f t="shared" si="64"/>
        <v>0.83748425668365423</v>
      </c>
      <c r="L188" s="106">
        <f t="shared" si="64"/>
        <v>0.81309151134335356</v>
      </c>
      <c r="M188" s="106">
        <f t="shared" si="64"/>
        <v>0.7894092343139355</v>
      </c>
      <c r="N188" s="106">
        <f t="shared" si="64"/>
        <v>0.76641673234362673</v>
      </c>
      <c r="O188" s="106">
        <f t="shared" si="64"/>
        <v>0.74409391489672494</v>
      </c>
      <c r="P188" s="106">
        <f t="shared" si="64"/>
        <v>0.7224212765987621</v>
      </c>
      <c r="Q188" s="106">
        <f t="shared" si="64"/>
        <v>0.70137988019297293</v>
      </c>
      <c r="R188" s="106">
        <f t="shared" si="64"/>
        <v>0.68095133999317758</v>
      </c>
      <c r="S188" s="106">
        <f t="shared" si="64"/>
        <v>0.66111780581861901</v>
      </c>
      <c r="T188" s="106">
        <f t="shared" si="64"/>
        <v>0.64186194739671742</v>
      </c>
      <c r="U188" s="106">
        <f t="shared" si="64"/>
        <v>0.62316693922011401</v>
      </c>
      <c r="V188" s="106">
        <f t="shared" si="64"/>
        <v>0.60501644584477088</v>
      </c>
      <c r="W188" s="106">
        <f t="shared" si="64"/>
        <v>0.58739460761628237</v>
      </c>
      <c r="X188" s="106">
        <f t="shared" si="64"/>
        <v>0.57028602681192464</v>
      </c>
      <c r="Y188" s="106">
        <f t="shared" si="64"/>
        <v>0.55367575418633463</v>
      </c>
      <c r="Z188" s="106">
        <f t="shared" si="64"/>
        <v>0.53754927590906276</v>
      </c>
      <c r="AA188" s="106">
        <f t="shared" si="64"/>
        <v>0.52189250088258521</v>
      </c>
      <c r="AB188" s="106">
        <f t="shared" si="64"/>
        <v>0.50669174842969433</v>
      </c>
      <c r="AC188" s="274">
        <f t="shared" si="64"/>
        <v>0.49193373633950904</v>
      </c>
      <c r="AD188" s="362"/>
    </row>
    <row r="189" spans="1:30" s="110" customFormat="1" ht="12">
      <c r="A189" s="107"/>
      <c r="B189" s="58"/>
      <c r="C189" s="108" t="s">
        <v>178</v>
      </c>
      <c r="D189" s="208"/>
      <c r="E189" s="216">
        <f>SUM(F189:AC189)</f>
        <v>14810119.636348987</v>
      </c>
      <c r="F189" s="109">
        <f>F187*F188</f>
        <v>-1567465.0162857347</v>
      </c>
      <c r="G189" s="109">
        <f t="shared" ref="G189:AC189" si="65">G187*G188</f>
        <v>-2111294.8262224109</v>
      </c>
      <c r="H189" s="109">
        <f t="shared" si="65"/>
        <v>930536.17065064097</v>
      </c>
      <c r="I189" s="109">
        <f t="shared" si="65"/>
        <v>919459.97474152804</v>
      </c>
      <c r="J189" s="109">
        <f t="shared" si="65"/>
        <v>908273.79710774927</v>
      </c>
      <c r="K189" s="109">
        <f t="shared" si="65"/>
        <v>896860.503112918</v>
      </c>
      <c r="L189" s="109">
        <f t="shared" si="65"/>
        <v>885271.29020964017</v>
      </c>
      <c r="M189" s="109">
        <f t="shared" si="65"/>
        <v>873892.60323082458</v>
      </c>
      <c r="N189" s="109">
        <f t="shared" si="65"/>
        <v>866685.07115174923</v>
      </c>
      <c r="O189" s="109">
        <f t="shared" si="65"/>
        <v>859559.74386299332</v>
      </c>
      <c r="P189" s="109">
        <f t="shared" si="65"/>
        <v>853844.81024928344</v>
      </c>
      <c r="Q189" s="109">
        <f t="shared" si="65"/>
        <v>847736.3760598118</v>
      </c>
      <c r="R189" s="109">
        <f t="shared" si="65"/>
        <v>841274.54919726471</v>
      </c>
      <c r="S189" s="109">
        <f t="shared" si="65"/>
        <v>834472.94622318121</v>
      </c>
      <c r="T189" s="109">
        <f t="shared" si="65"/>
        <v>827368.54911072471</v>
      </c>
      <c r="U189" s="109">
        <f t="shared" si="65"/>
        <v>819973.23784348555</v>
      </c>
      <c r="V189" s="109">
        <f t="shared" si="65"/>
        <v>812321.0752819425</v>
      </c>
      <c r="W189" s="109">
        <f t="shared" si="65"/>
        <v>804482.73201653187</v>
      </c>
      <c r="X189" s="109">
        <f t="shared" si="65"/>
        <v>799112.58185460512</v>
      </c>
      <c r="Y189" s="109">
        <f t="shared" si="65"/>
        <v>793444.87144100061</v>
      </c>
      <c r="Z189" s="109">
        <f t="shared" si="65"/>
        <v>787806.19851907925</v>
      </c>
      <c r="AA189" s="109">
        <f t="shared" si="65"/>
        <v>781850.66612603248</v>
      </c>
      <c r="AB189" s="109">
        <f t="shared" si="65"/>
        <v>775591.40676334</v>
      </c>
      <c r="AC189" s="392">
        <f t="shared" si="65"/>
        <v>769060.32410280663</v>
      </c>
      <c r="AD189" s="363">
        <f t="shared" si="57"/>
        <v>14810119.636348987</v>
      </c>
    </row>
    <row r="190" spans="1:30" s="110" customFormat="1" ht="12">
      <c r="A190" s="91"/>
      <c r="B190" s="58"/>
      <c r="C190" s="70" t="s">
        <v>181</v>
      </c>
      <c r="D190" s="211"/>
      <c r="E190" s="218"/>
      <c r="F190" s="106">
        <f>1/1.07</f>
        <v>0.93457943925233644</v>
      </c>
      <c r="G190" s="106">
        <f>F190/1.07</f>
        <v>0.87343872827321156</v>
      </c>
      <c r="H190" s="106">
        <f t="shared" ref="H190:AC190" si="66">G190/1.07</f>
        <v>0.81629787689085187</v>
      </c>
      <c r="I190" s="106">
        <f t="shared" si="66"/>
        <v>0.76289521204752508</v>
      </c>
      <c r="J190" s="106">
        <f t="shared" si="66"/>
        <v>0.71298617948366827</v>
      </c>
      <c r="K190" s="106">
        <f t="shared" si="66"/>
        <v>0.66634222381651231</v>
      </c>
      <c r="L190" s="106">
        <f t="shared" si="66"/>
        <v>0.62274974188459087</v>
      </c>
      <c r="M190" s="106">
        <f t="shared" si="66"/>
        <v>0.58200910456503818</v>
      </c>
      <c r="N190" s="106">
        <f t="shared" si="66"/>
        <v>0.54393374258414784</v>
      </c>
      <c r="O190" s="106">
        <f t="shared" si="66"/>
        <v>0.50834929213471758</v>
      </c>
      <c r="P190" s="106">
        <f t="shared" si="66"/>
        <v>0.4750927963875865</v>
      </c>
      <c r="Q190" s="106">
        <f t="shared" si="66"/>
        <v>0.444011959240735</v>
      </c>
      <c r="R190" s="106">
        <f t="shared" si="66"/>
        <v>0.41496444788853737</v>
      </c>
      <c r="S190" s="106">
        <f t="shared" si="66"/>
        <v>0.38781724101732462</v>
      </c>
      <c r="T190" s="106">
        <f t="shared" si="66"/>
        <v>0.36244601964235945</v>
      </c>
      <c r="U190" s="106">
        <f t="shared" si="66"/>
        <v>0.33873459779659759</v>
      </c>
      <c r="V190" s="106">
        <f t="shared" si="66"/>
        <v>0.3165743904641099</v>
      </c>
      <c r="W190" s="106">
        <f t="shared" si="66"/>
        <v>0.29586391632159803</v>
      </c>
      <c r="X190" s="106">
        <f t="shared" si="66"/>
        <v>0.27650833301083927</v>
      </c>
      <c r="Y190" s="106">
        <f t="shared" si="66"/>
        <v>0.25841900281386848</v>
      </c>
      <c r="Z190" s="106">
        <f t="shared" si="66"/>
        <v>0.24151308674193314</v>
      </c>
      <c r="AA190" s="106">
        <f t="shared" si="66"/>
        <v>0.22571316517937676</v>
      </c>
      <c r="AB190" s="106">
        <f t="shared" si="66"/>
        <v>0.21094688334521192</v>
      </c>
      <c r="AC190" s="274">
        <f t="shared" si="66"/>
        <v>0.19714661994879618</v>
      </c>
      <c r="AD190" s="362"/>
    </row>
    <row r="191" spans="1:30" s="110" customFormat="1" ht="12">
      <c r="A191" s="107"/>
      <c r="B191" s="58"/>
      <c r="C191" s="108" t="s">
        <v>179</v>
      </c>
      <c r="D191" s="208"/>
      <c r="E191" s="216">
        <f>SUM(F191:AC191)</f>
        <v>8067735.4860649705</v>
      </c>
      <c r="F191" s="109">
        <f>F187*F190</f>
        <v>-1508868.1932470156</v>
      </c>
      <c r="G191" s="109">
        <f t="shared" ref="G191:AC191" si="67">G187*G190</f>
        <v>-1956391.5461082675</v>
      </c>
      <c r="H191" s="109">
        <f t="shared" si="67"/>
        <v>830029.63826295314</v>
      </c>
      <c r="I191" s="109">
        <f t="shared" si="67"/>
        <v>789489.96954451152</v>
      </c>
      <c r="J191" s="109">
        <f t="shared" si="67"/>
        <v>750730.43104621931</v>
      </c>
      <c r="K191" s="109">
        <f t="shared" si="67"/>
        <v>713584.78362799529</v>
      </c>
      <c r="L191" s="109">
        <f t="shared" si="67"/>
        <v>678032.49669284432</v>
      </c>
      <c r="M191" s="109">
        <f t="shared" si="67"/>
        <v>644296.30334184167</v>
      </c>
      <c r="N191" s="109">
        <f t="shared" si="67"/>
        <v>615095.20147325832</v>
      </c>
      <c r="O191" s="109">
        <f t="shared" si="67"/>
        <v>587233.11478887498</v>
      </c>
      <c r="P191" s="109">
        <f t="shared" si="67"/>
        <v>561522.10866799287</v>
      </c>
      <c r="Q191" s="109">
        <f t="shared" si="67"/>
        <v>536663.65386813774</v>
      </c>
      <c r="R191" s="109">
        <f t="shared" si="67"/>
        <v>512663.6931705263</v>
      </c>
      <c r="S191" s="109">
        <f t="shared" si="67"/>
        <v>489508.81803455768</v>
      </c>
      <c r="T191" s="109">
        <f t="shared" si="67"/>
        <v>467197.71847934567</v>
      </c>
      <c r="U191" s="109">
        <f t="shared" si="67"/>
        <v>445712.51689393516</v>
      </c>
      <c r="V191" s="109">
        <f t="shared" si="67"/>
        <v>425046.37854837894</v>
      </c>
      <c r="W191" s="109">
        <f t="shared" si="67"/>
        <v>405208.71084161446</v>
      </c>
      <c r="X191" s="109">
        <f t="shared" si="67"/>
        <v>387456.95582240843</v>
      </c>
      <c r="Y191" s="109">
        <f t="shared" si="67"/>
        <v>370327.2735265136</v>
      </c>
      <c r="Z191" s="109">
        <f t="shared" si="67"/>
        <v>353949.88940689823</v>
      </c>
      <c r="AA191" s="109">
        <f t="shared" si="67"/>
        <v>338142.41103382676</v>
      </c>
      <c r="AB191" s="109">
        <f t="shared" si="67"/>
        <v>322895.7063403934</v>
      </c>
      <c r="AC191" s="392">
        <f t="shared" si="67"/>
        <v>308207.45200722484</v>
      </c>
      <c r="AD191" s="363">
        <f t="shared" si="57"/>
        <v>8067735.4860649705</v>
      </c>
    </row>
    <row r="192" spans="1:30" s="53" customFormat="1" ht="12">
      <c r="A192" s="107"/>
      <c r="B192" s="58"/>
      <c r="C192" s="108"/>
      <c r="D192" s="208"/>
      <c r="E192" s="216"/>
      <c r="F192" s="109"/>
      <c r="G192" s="109"/>
      <c r="AC192" s="263"/>
      <c r="AD192" s="338"/>
    </row>
    <row r="193" spans="1:53" s="53" customFormat="1" ht="12">
      <c r="A193" s="45"/>
      <c r="B193" s="58"/>
      <c r="C193" s="282" t="s">
        <v>185</v>
      </c>
      <c r="D193" s="213"/>
      <c r="E193" s="303">
        <f>IRR(F187:AC187)</f>
        <v>0.25469391665798763</v>
      </c>
      <c r="F193" s="45"/>
      <c r="G193" s="57"/>
      <c r="AC193" s="263"/>
      <c r="AD193" s="338"/>
    </row>
    <row r="194" spans="1:53" s="113" customFormat="1" ht="12">
      <c r="A194" s="111"/>
      <c r="B194" s="58"/>
      <c r="C194" s="115"/>
      <c r="D194" s="117"/>
      <c r="E194" s="111"/>
      <c r="F194" s="112"/>
      <c r="G194" s="112"/>
      <c r="H194" s="112"/>
      <c r="I194" s="112"/>
      <c r="J194" s="112"/>
      <c r="K194" s="112"/>
      <c r="L194" s="112"/>
      <c r="M194" s="112"/>
      <c r="N194" s="112"/>
      <c r="O194" s="112"/>
      <c r="P194" s="112"/>
      <c r="Q194" s="112"/>
      <c r="R194" s="112"/>
      <c r="S194" s="112"/>
      <c r="T194" s="112"/>
      <c r="U194" s="112"/>
      <c r="V194" s="112"/>
      <c r="W194" s="112"/>
      <c r="X194" s="112"/>
      <c r="Y194" s="112"/>
      <c r="AC194" s="275"/>
      <c r="AD194" s="364"/>
    </row>
    <row r="195" spans="1:53" s="113" customFormat="1" ht="12">
      <c r="A195" s="111"/>
      <c r="B195" s="58"/>
      <c r="C195" s="118"/>
      <c r="D195" s="117"/>
      <c r="E195" s="111"/>
      <c r="F195" s="111"/>
      <c r="G195" s="114"/>
      <c r="AC195" s="275"/>
      <c r="AD195" s="364"/>
    </row>
    <row r="196" spans="1:53" s="113" customFormat="1" ht="12">
      <c r="A196" s="111"/>
      <c r="B196" s="111"/>
      <c r="C196" s="115"/>
      <c r="D196" s="119"/>
      <c r="E196" s="120"/>
      <c r="F196" s="120"/>
      <c r="G196" s="116"/>
      <c r="H196" s="116"/>
      <c r="I196" s="116"/>
      <c r="J196" s="116"/>
      <c r="K196" s="116"/>
      <c r="L196" s="116"/>
      <c r="M196" s="116"/>
      <c r="N196" s="116"/>
      <c r="O196" s="116"/>
      <c r="P196" s="116"/>
      <c r="Q196" s="116"/>
      <c r="R196" s="116"/>
      <c r="S196" s="116"/>
      <c r="T196" s="116"/>
      <c r="U196" s="116"/>
      <c r="V196" s="116"/>
      <c r="W196" s="116"/>
      <c r="X196" s="116"/>
      <c r="Y196" s="116"/>
      <c r="AC196" s="275"/>
      <c r="AD196" s="364"/>
    </row>
    <row r="197" spans="1:53">
      <c r="A197" s="25"/>
      <c r="B197" s="25"/>
      <c r="C197" s="52"/>
      <c r="D197" s="42"/>
      <c r="E197" s="42"/>
      <c r="F197" s="42"/>
    </row>
    <row r="198" spans="1:53" ht="15.75">
      <c r="A198" s="25"/>
      <c r="B198" s="25"/>
      <c r="C198" s="401" t="s">
        <v>1</v>
      </c>
      <c r="D198" s="418">
        <f>SUM(D199:D202)</f>
        <v>9183.983996740546</v>
      </c>
      <c r="E198" s="42"/>
      <c r="F198" s="42"/>
      <c r="G198" s="42"/>
      <c r="H198" s="42"/>
      <c r="I198" s="42"/>
      <c r="J198" s="42"/>
      <c r="K198" s="42"/>
      <c r="L198" s="42"/>
      <c r="M198" s="42"/>
      <c r="N198" s="42"/>
      <c r="O198" s="42"/>
      <c r="P198" s="42"/>
      <c r="Q198" s="42"/>
      <c r="R198" s="42"/>
      <c r="S198" s="42"/>
      <c r="T198" s="42"/>
      <c r="U198" s="42"/>
      <c r="V198" s="42"/>
      <c r="W198" s="42"/>
      <c r="X198" s="42"/>
      <c r="Y198" s="42"/>
      <c r="Z198" s="42"/>
      <c r="AA198" s="42"/>
      <c r="AB198" s="42"/>
      <c r="AC198" s="42"/>
    </row>
    <row r="199" spans="1:53" ht="15.75">
      <c r="A199" s="25"/>
      <c r="B199" s="25"/>
      <c r="C199" s="403" t="s">
        <v>196</v>
      </c>
      <c r="D199" s="416">
        <f>-SUM(F199:AC199)/1000</f>
        <v>4020</v>
      </c>
      <c r="F199" s="422">
        <f>F6</f>
        <v>-1509600</v>
      </c>
      <c r="G199" s="422">
        <f t="shared" ref="G199:AC199" si="68">G6</f>
        <v>-2510400</v>
      </c>
      <c r="H199" s="422">
        <f t="shared" si="68"/>
        <v>0</v>
      </c>
      <c r="I199" s="422">
        <f t="shared" si="68"/>
        <v>0</v>
      </c>
      <c r="J199" s="422">
        <f t="shared" si="68"/>
        <v>0</v>
      </c>
      <c r="K199" s="422">
        <f t="shared" si="68"/>
        <v>0</v>
      </c>
      <c r="L199" s="422">
        <f t="shared" si="68"/>
        <v>0</v>
      </c>
      <c r="M199" s="422">
        <f t="shared" si="68"/>
        <v>0</v>
      </c>
      <c r="N199" s="422">
        <f t="shared" si="68"/>
        <v>0</v>
      </c>
      <c r="O199" s="422">
        <f t="shared" si="68"/>
        <v>0</v>
      </c>
      <c r="P199" s="422">
        <f t="shared" si="68"/>
        <v>0</v>
      </c>
      <c r="Q199" s="422">
        <f t="shared" si="68"/>
        <v>0</v>
      </c>
      <c r="R199" s="422">
        <f t="shared" si="68"/>
        <v>0</v>
      </c>
      <c r="S199" s="422">
        <f t="shared" si="68"/>
        <v>0</v>
      </c>
      <c r="T199" s="422">
        <f t="shared" si="68"/>
        <v>0</v>
      </c>
      <c r="U199" s="422">
        <f t="shared" si="68"/>
        <v>0</v>
      </c>
      <c r="V199" s="422">
        <f t="shared" si="68"/>
        <v>0</v>
      </c>
      <c r="W199" s="422">
        <f t="shared" si="68"/>
        <v>0</v>
      </c>
      <c r="X199" s="422">
        <f t="shared" si="68"/>
        <v>0</v>
      </c>
      <c r="Y199" s="422">
        <f t="shared" si="68"/>
        <v>0</v>
      </c>
      <c r="Z199" s="422">
        <f t="shared" si="68"/>
        <v>0</v>
      </c>
      <c r="AA199" s="422">
        <f t="shared" si="68"/>
        <v>0</v>
      </c>
      <c r="AB199" s="422">
        <f t="shared" si="68"/>
        <v>0</v>
      </c>
      <c r="AC199" s="422">
        <f t="shared" si="68"/>
        <v>0</v>
      </c>
    </row>
    <row r="200" spans="1:53" ht="15.75">
      <c r="A200" s="25"/>
      <c r="B200" s="25"/>
      <c r="C200" s="403" t="s">
        <v>197</v>
      </c>
      <c r="D200" s="416">
        <f>-SUM(F200:AC200)/1000</f>
        <v>0</v>
      </c>
      <c r="E200" s="42"/>
      <c r="F200" s="422">
        <f>F5</f>
        <v>0</v>
      </c>
      <c r="G200" s="422">
        <f t="shared" ref="G200:AC200" si="69">G5</f>
        <v>0</v>
      </c>
      <c r="H200" s="422">
        <f t="shared" si="69"/>
        <v>0</v>
      </c>
      <c r="I200" s="422">
        <f t="shared" si="69"/>
        <v>0</v>
      </c>
      <c r="J200" s="422">
        <f t="shared" si="69"/>
        <v>0</v>
      </c>
      <c r="K200" s="422">
        <f t="shared" si="69"/>
        <v>0</v>
      </c>
      <c r="L200" s="422">
        <f t="shared" si="69"/>
        <v>0</v>
      </c>
      <c r="M200" s="422">
        <f t="shared" si="69"/>
        <v>0</v>
      </c>
      <c r="N200" s="422">
        <f t="shared" si="69"/>
        <v>0</v>
      </c>
      <c r="O200" s="422">
        <f t="shared" si="69"/>
        <v>0</v>
      </c>
      <c r="P200" s="422">
        <f t="shared" si="69"/>
        <v>0</v>
      </c>
      <c r="Q200" s="422">
        <f t="shared" si="69"/>
        <v>0</v>
      </c>
      <c r="R200" s="422">
        <f t="shared" si="69"/>
        <v>0</v>
      </c>
      <c r="S200" s="422">
        <f t="shared" si="69"/>
        <v>0</v>
      </c>
      <c r="T200" s="422">
        <f t="shared" si="69"/>
        <v>0</v>
      </c>
      <c r="U200" s="422">
        <f t="shared" si="69"/>
        <v>0</v>
      </c>
      <c r="V200" s="422">
        <f t="shared" si="69"/>
        <v>0</v>
      </c>
      <c r="W200" s="422">
        <f t="shared" si="69"/>
        <v>0</v>
      </c>
      <c r="X200" s="422">
        <f t="shared" si="69"/>
        <v>0</v>
      </c>
      <c r="Y200" s="422">
        <f t="shared" si="69"/>
        <v>0</v>
      </c>
      <c r="Z200" s="422">
        <f t="shared" si="69"/>
        <v>0</v>
      </c>
      <c r="AA200" s="422">
        <f t="shared" si="69"/>
        <v>0</v>
      </c>
      <c r="AB200" s="422">
        <f t="shared" si="69"/>
        <v>0</v>
      </c>
      <c r="AC200" s="422">
        <f t="shared" si="69"/>
        <v>0</v>
      </c>
    </row>
    <row r="201" spans="1:53" ht="15.75">
      <c r="A201" s="25"/>
      <c r="B201" s="25"/>
      <c r="C201" s="404" t="s">
        <v>546</v>
      </c>
      <c r="D201" s="416">
        <f>-SUM(F201:AC201)/1000</f>
        <v>315.44277822965483</v>
      </c>
      <c r="E201" s="42"/>
      <c r="F201" s="422">
        <f>F118</f>
        <v>-104888.96677430671</v>
      </c>
      <c r="G201" s="422">
        <f t="shared" ref="G201:AC201" si="70">G118</f>
        <v>-210553.81145534813</v>
      </c>
      <c r="H201" s="422">
        <f t="shared" si="70"/>
        <v>0</v>
      </c>
      <c r="I201" s="422">
        <f t="shared" si="70"/>
        <v>0</v>
      </c>
      <c r="J201" s="422">
        <f t="shared" si="70"/>
        <v>0</v>
      </c>
      <c r="K201" s="422">
        <f t="shared" si="70"/>
        <v>0</v>
      </c>
      <c r="L201" s="422">
        <f t="shared" si="70"/>
        <v>0</v>
      </c>
      <c r="M201" s="422">
        <f t="shared" si="70"/>
        <v>0</v>
      </c>
      <c r="N201" s="422">
        <f t="shared" si="70"/>
        <v>0</v>
      </c>
      <c r="O201" s="422">
        <f t="shared" si="70"/>
        <v>0</v>
      </c>
      <c r="P201" s="422">
        <f t="shared" si="70"/>
        <v>0</v>
      </c>
      <c r="Q201" s="422">
        <f t="shared" si="70"/>
        <v>0</v>
      </c>
      <c r="R201" s="422">
        <f t="shared" si="70"/>
        <v>0</v>
      </c>
      <c r="S201" s="422">
        <f t="shared" si="70"/>
        <v>0</v>
      </c>
      <c r="T201" s="422">
        <f t="shared" si="70"/>
        <v>0</v>
      </c>
      <c r="U201" s="422">
        <f t="shared" si="70"/>
        <v>0</v>
      </c>
      <c r="V201" s="422">
        <f t="shared" si="70"/>
        <v>0</v>
      </c>
      <c r="W201" s="422">
        <f t="shared" si="70"/>
        <v>0</v>
      </c>
      <c r="X201" s="422">
        <f t="shared" si="70"/>
        <v>0</v>
      </c>
      <c r="Y201" s="422">
        <f t="shared" si="70"/>
        <v>0</v>
      </c>
      <c r="Z201" s="422">
        <f t="shared" si="70"/>
        <v>0</v>
      </c>
      <c r="AA201" s="422">
        <f t="shared" si="70"/>
        <v>0</v>
      </c>
      <c r="AB201" s="422">
        <f t="shared" si="70"/>
        <v>0</v>
      </c>
      <c r="AC201" s="422">
        <f t="shared" si="70"/>
        <v>0</v>
      </c>
    </row>
    <row r="202" spans="1:53" ht="15.75">
      <c r="A202" s="25"/>
      <c r="B202" s="25"/>
      <c r="C202" s="403" t="s">
        <v>198</v>
      </c>
      <c r="D202" s="416">
        <f>-SUM(F202:AC202)/1000</f>
        <v>4848.5412185108898</v>
      </c>
      <c r="E202" s="43"/>
      <c r="F202" s="422">
        <f>F152+F154+F165+F167</f>
        <v>0</v>
      </c>
      <c r="G202" s="422">
        <f t="shared" ref="G202:AC202" si="71">G152+G154+G165+G167</f>
        <v>-89370.153217263127</v>
      </c>
      <c r="H202" s="422">
        <f t="shared" si="71"/>
        <v>-181586.36777911324</v>
      </c>
      <c r="I202" s="422">
        <f t="shared" si="71"/>
        <v>-184432.42912370019</v>
      </c>
      <c r="J202" s="422">
        <f t="shared" si="71"/>
        <v>-187278.4904682872</v>
      </c>
      <c r="K202" s="422">
        <f t="shared" si="71"/>
        <v>-190124.55181287407</v>
      </c>
      <c r="L202" s="422">
        <f t="shared" si="71"/>
        <v>-192970.61315746111</v>
      </c>
      <c r="M202" s="422">
        <f t="shared" si="71"/>
        <v>-195816.674502048</v>
      </c>
      <c r="N202" s="422">
        <f t="shared" si="71"/>
        <v>-199349.82032086875</v>
      </c>
      <c r="O202" s="422">
        <f t="shared" si="71"/>
        <v>-202882.96613968944</v>
      </c>
      <c r="P202" s="422">
        <f t="shared" si="71"/>
        <v>-206416.11195851018</v>
      </c>
      <c r="Q202" s="422">
        <f t="shared" si="71"/>
        <v>-209949.25777733093</v>
      </c>
      <c r="R202" s="422">
        <f t="shared" si="71"/>
        <v>-213482.40359615162</v>
      </c>
      <c r="S202" s="422">
        <f t="shared" si="71"/>
        <v>-217015.54941497237</v>
      </c>
      <c r="T202" s="422">
        <f t="shared" si="71"/>
        <v>-220548.69523379306</v>
      </c>
      <c r="U202" s="422">
        <f t="shared" si="71"/>
        <v>-224081.8410526138</v>
      </c>
      <c r="V202" s="422">
        <f t="shared" si="71"/>
        <v>-227614.98687143449</v>
      </c>
      <c r="W202" s="422">
        <f t="shared" si="71"/>
        <v>-231148.13269025524</v>
      </c>
      <c r="X202" s="422">
        <f t="shared" si="71"/>
        <v>-235318.76970230247</v>
      </c>
      <c r="Y202" s="422">
        <f t="shared" si="71"/>
        <v>-239489.40671434969</v>
      </c>
      <c r="Z202" s="422">
        <f t="shared" si="71"/>
        <v>-243660.04372639692</v>
      </c>
      <c r="AA202" s="422">
        <f t="shared" si="71"/>
        <v>-247830.68073844409</v>
      </c>
      <c r="AB202" s="422">
        <f t="shared" si="71"/>
        <v>-252001.31775049138</v>
      </c>
      <c r="AC202" s="422">
        <f t="shared" si="71"/>
        <v>-256171.95476253866</v>
      </c>
    </row>
    <row r="203" spans="1:53" ht="15.75">
      <c r="A203" s="25"/>
      <c r="B203" s="25"/>
      <c r="C203" s="402"/>
      <c r="D203" s="417"/>
      <c r="F203" s="414">
        <f>SUM(F199:F202)</f>
        <v>-1614488.9667743067</v>
      </c>
      <c r="G203" s="414">
        <f t="shared" ref="G203:AC203" si="72">SUM(G199:G202)</f>
        <v>-2810323.9646726111</v>
      </c>
      <c r="H203" s="414">
        <f t="shared" si="72"/>
        <v>-181586.36777911324</v>
      </c>
      <c r="I203" s="414">
        <f t="shared" si="72"/>
        <v>-184432.42912370019</v>
      </c>
      <c r="J203" s="414">
        <f t="shared" si="72"/>
        <v>-187278.4904682872</v>
      </c>
      <c r="K203" s="414">
        <f t="shared" si="72"/>
        <v>-190124.55181287407</v>
      </c>
      <c r="L203" s="414">
        <f t="shared" si="72"/>
        <v>-192970.61315746111</v>
      </c>
      <c r="M203" s="414">
        <f t="shared" si="72"/>
        <v>-195816.674502048</v>
      </c>
      <c r="N203" s="414">
        <f t="shared" si="72"/>
        <v>-199349.82032086875</v>
      </c>
      <c r="O203" s="414">
        <f t="shared" si="72"/>
        <v>-202882.96613968944</v>
      </c>
      <c r="P203" s="414">
        <f t="shared" si="72"/>
        <v>-206416.11195851018</v>
      </c>
      <c r="Q203" s="414">
        <f t="shared" si="72"/>
        <v>-209949.25777733093</v>
      </c>
      <c r="R203" s="414">
        <f t="shared" si="72"/>
        <v>-213482.40359615162</v>
      </c>
      <c r="S203" s="414">
        <f t="shared" si="72"/>
        <v>-217015.54941497237</v>
      </c>
      <c r="T203" s="414">
        <f t="shared" si="72"/>
        <v>-220548.69523379306</v>
      </c>
      <c r="U203" s="414">
        <f t="shared" si="72"/>
        <v>-224081.8410526138</v>
      </c>
      <c r="V203" s="414">
        <f t="shared" si="72"/>
        <v>-227614.98687143449</v>
      </c>
      <c r="W203" s="414">
        <f t="shared" si="72"/>
        <v>-231148.13269025524</v>
      </c>
      <c r="X203" s="414">
        <f t="shared" si="72"/>
        <v>-235318.76970230247</v>
      </c>
      <c r="Y203" s="414">
        <f t="shared" si="72"/>
        <v>-239489.40671434969</v>
      </c>
      <c r="Z203" s="414">
        <f t="shared" si="72"/>
        <v>-243660.04372639692</v>
      </c>
      <c r="AA203" s="414">
        <f t="shared" si="72"/>
        <v>-247830.68073844409</v>
      </c>
      <c r="AB203" s="414">
        <f t="shared" si="72"/>
        <v>-252001.31775049138</v>
      </c>
      <c r="AC203" s="414">
        <f t="shared" si="72"/>
        <v>-256171.95476253866</v>
      </c>
    </row>
    <row r="204" spans="1:53" s="76" customFormat="1" ht="15.75">
      <c r="A204" s="25"/>
      <c r="B204" s="25"/>
      <c r="C204" s="401" t="s">
        <v>0</v>
      </c>
      <c r="D204" s="418">
        <f>SUM(D205:D211)</f>
        <v>33084.229001597254</v>
      </c>
      <c r="E204" s="25"/>
      <c r="F204" s="25"/>
      <c r="G204" s="25"/>
      <c r="H204" s="25"/>
      <c r="I204" s="25"/>
      <c r="J204" s="25"/>
      <c r="K204" s="25"/>
      <c r="L204" s="25"/>
      <c r="M204" s="25"/>
      <c r="N204" s="25"/>
      <c r="O204" s="25"/>
      <c r="P204" s="25"/>
      <c r="Q204" s="25"/>
      <c r="R204" s="25"/>
      <c r="S204" s="25"/>
      <c r="T204" s="25"/>
      <c r="U204" s="25"/>
      <c r="V204" s="25"/>
      <c r="W204" s="25"/>
      <c r="X204" s="25"/>
      <c r="Y204" s="25"/>
      <c r="Z204" s="25"/>
      <c r="AA204" s="25"/>
      <c r="AB204" s="25"/>
      <c r="AC204" s="25"/>
      <c r="AD204" s="335"/>
      <c r="AE204"/>
      <c r="AF204"/>
      <c r="AG204"/>
      <c r="AH204"/>
      <c r="AI204"/>
      <c r="AJ204"/>
      <c r="AK204"/>
      <c r="AL204"/>
      <c r="AM204"/>
      <c r="AN204"/>
      <c r="AO204"/>
      <c r="AP204"/>
      <c r="AQ204"/>
      <c r="AR204"/>
      <c r="AS204"/>
      <c r="AT204"/>
      <c r="AU204"/>
      <c r="AV204"/>
      <c r="AW204"/>
      <c r="AX204"/>
      <c r="AY204"/>
      <c r="AZ204"/>
      <c r="BA204"/>
    </row>
    <row r="205" spans="1:53" s="76" customFormat="1" ht="15.75">
      <c r="A205" s="25"/>
      <c r="B205" s="25"/>
      <c r="C205" s="403" t="s">
        <v>577</v>
      </c>
      <c r="D205" s="416">
        <f t="shared" ref="D205:D211" si="73">SUM(F205:AC205)/1000</f>
        <v>1693.6963129629873</v>
      </c>
      <c r="E205" s="25"/>
      <c r="F205" s="423">
        <f t="shared" ref="F205:AC205" si="74">F45+F57+F71+F83</f>
        <v>0</v>
      </c>
      <c r="G205" s="423">
        <f t="shared" si="74"/>
        <v>10718.711994254216</v>
      </c>
      <c r="H205" s="423">
        <f t="shared" si="74"/>
        <v>59352.161508682104</v>
      </c>
      <c r="I205" s="423">
        <f t="shared" si="74"/>
        <v>60703.677890469495</v>
      </c>
      <c r="J205" s="423">
        <f t="shared" si="74"/>
        <v>62071.158226271597</v>
      </c>
      <c r="K205" s="423">
        <f t="shared" si="74"/>
        <v>63454.768916979861</v>
      </c>
      <c r="L205" s="423">
        <f t="shared" si="74"/>
        <v>64854.678684197599</v>
      </c>
      <c r="M205" s="423">
        <f t="shared" si="74"/>
        <v>66271.0586108383</v>
      </c>
      <c r="N205" s="423">
        <f t="shared" si="74"/>
        <v>67938.239955106488</v>
      </c>
      <c r="O205" s="423">
        <f t="shared" si="74"/>
        <v>69625.513559483312</v>
      </c>
      <c r="P205" s="423">
        <f t="shared" si="74"/>
        <v>71333.092559122713</v>
      </c>
      <c r="Q205" s="423">
        <f t="shared" si="74"/>
        <v>73061.193114409252</v>
      </c>
      <c r="R205" s="423">
        <f t="shared" si="74"/>
        <v>74810.034464824159</v>
      </c>
      <c r="S205" s="423">
        <f t="shared" si="74"/>
        <v>76579.838983966416</v>
      </c>
      <c r="T205" s="423">
        <f t="shared" si="74"/>
        <v>78370.832235758309</v>
      </c>
      <c r="U205" s="423">
        <f t="shared" si="74"/>
        <v>80183.243031864287</v>
      </c>
      <c r="V205" s="423">
        <f t="shared" si="74"/>
        <v>82017.303490354621</v>
      </c>
      <c r="W205" s="423">
        <f t="shared" si="74"/>
        <v>83873.249095645617</v>
      </c>
      <c r="X205" s="423">
        <f t="shared" si="74"/>
        <v>85984.254726622574</v>
      </c>
      <c r="Y205" s="423">
        <f t="shared" si="74"/>
        <v>88120.888708030237</v>
      </c>
      <c r="Z205" s="423">
        <f t="shared" si="74"/>
        <v>90283.432866103001</v>
      </c>
      <c r="AA205" s="423">
        <f t="shared" si="74"/>
        <v>92472.17317447385</v>
      </c>
      <c r="AB205" s="423">
        <f t="shared" si="74"/>
        <v>94687.399830748327</v>
      </c>
      <c r="AC205" s="423">
        <f t="shared" si="74"/>
        <v>96929.407334781077</v>
      </c>
      <c r="AD205" s="335"/>
      <c r="AE205"/>
      <c r="AF205"/>
      <c r="AG205"/>
      <c r="AH205"/>
      <c r="AI205"/>
      <c r="AJ205"/>
      <c r="AK205"/>
      <c r="AL205"/>
      <c r="AM205"/>
      <c r="AN205"/>
      <c r="AO205"/>
      <c r="AP205"/>
      <c r="AQ205"/>
      <c r="AR205"/>
      <c r="AS205"/>
      <c r="AT205"/>
      <c r="AU205"/>
      <c r="AV205"/>
      <c r="AW205"/>
      <c r="AX205"/>
      <c r="AY205"/>
      <c r="AZ205"/>
      <c r="BA205"/>
    </row>
    <row r="206" spans="1:53" s="76" customFormat="1" ht="15.75">
      <c r="A206" s="25"/>
      <c r="B206" s="25"/>
      <c r="C206" s="403" t="s">
        <v>578</v>
      </c>
      <c r="D206" s="416">
        <f t="shared" si="73"/>
        <v>4976.7306568715967</v>
      </c>
      <c r="E206" s="25"/>
      <c r="F206" s="422">
        <f t="shared" ref="F206:AC206" si="75">F64+F90</f>
        <v>0</v>
      </c>
      <c r="G206" s="422">
        <f t="shared" si="75"/>
        <v>91732.989631521719</v>
      </c>
      <c r="H206" s="422">
        <f t="shared" si="75"/>
        <v>186387.28695263618</v>
      </c>
      <c r="I206" s="422">
        <f t="shared" si="75"/>
        <v>189308.59464222885</v>
      </c>
      <c r="J206" s="422">
        <f t="shared" si="75"/>
        <v>192229.90233182162</v>
      </c>
      <c r="K206" s="422">
        <f t="shared" si="75"/>
        <v>195151.21002141427</v>
      </c>
      <c r="L206" s="422">
        <f t="shared" si="75"/>
        <v>198072.51771100704</v>
      </c>
      <c r="M206" s="422">
        <f t="shared" si="75"/>
        <v>200993.82540059974</v>
      </c>
      <c r="N206" s="422">
        <f t="shared" si="75"/>
        <v>204620.38322887849</v>
      </c>
      <c r="O206" s="422">
        <f t="shared" si="75"/>
        <v>208246.94105715718</v>
      </c>
      <c r="P206" s="422">
        <f t="shared" si="75"/>
        <v>211873.49888543593</v>
      </c>
      <c r="Q206" s="422">
        <f t="shared" si="75"/>
        <v>215500.05671371467</v>
      </c>
      <c r="R206" s="422">
        <f t="shared" si="75"/>
        <v>219126.61454199342</v>
      </c>
      <c r="S206" s="422">
        <f t="shared" si="75"/>
        <v>222753.17237027214</v>
      </c>
      <c r="T206" s="422">
        <f t="shared" si="75"/>
        <v>226379.73019855088</v>
      </c>
      <c r="U206" s="422">
        <f t="shared" si="75"/>
        <v>230006.2880268296</v>
      </c>
      <c r="V206" s="422">
        <f t="shared" si="75"/>
        <v>233632.84585510835</v>
      </c>
      <c r="W206" s="422">
        <f t="shared" si="75"/>
        <v>237259.40368338709</v>
      </c>
      <c r="X206" s="422">
        <f t="shared" si="75"/>
        <v>241540.30718427832</v>
      </c>
      <c r="Y206" s="422">
        <f t="shared" si="75"/>
        <v>245821.21068516959</v>
      </c>
      <c r="Z206" s="422">
        <f t="shared" si="75"/>
        <v>250102.11418606082</v>
      </c>
      <c r="AA206" s="422">
        <f t="shared" si="75"/>
        <v>254383.01768695202</v>
      </c>
      <c r="AB206" s="422">
        <f t="shared" si="75"/>
        <v>258663.92118784331</v>
      </c>
      <c r="AC206" s="422">
        <f t="shared" si="75"/>
        <v>262944.8246887346</v>
      </c>
      <c r="AD206" s="335"/>
      <c r="AE206"/>
      <c r="AF206"/>
      <c r="AG206"/>
      <c r="AH206"/>
      <c r="AI206"/>
      <c r="AJ206"/>
      <c r="AK206"/>
      <c r="AL206"/>
      <c r="AM206"/>
      <c r="AN206"/>
      <c r="AO206"/>
      <c r="AP206"/>
      <c r="AQ206"/>
      <c r="AR206"/>
      <c r="AS206"/>
      <c r="AT206"/>
      <c r="AU206"/>
      <c r="AV206"/>
      <c r="AW206"/>
      <c r="AX206"/>
      <c r="AY206"/>
      <c r="AZ206"/>
      <c r="BA206"/>
    </row>
    <row r="207" spans="1:53" s="76" customFormat="1" ht="15.75">
      <c r="A207" s="25"/>
      <c r="B207" s="25"/>
      <c r="C207" s="403" t="s">
        <v>199</v>
      </c>
      <c r="D207" s="416">
        <f t="shared" si="73"/>
        <v>2647.6179224439543</v>
      </c>
      <c r="E207" s="25"/>
      <c r="F207" s="422">
        <f>F107</f>
        <v>0</v>
      </c>
      <c r="G207" s="422">
        <f t="shared" ref="G207:AC207" si="76">G107</f>
        <v>46986.351791493762</v>
      </c>
      <c r="H207" s="422">
        <f t="shared" si="76"/>
        <v>95762.562869369634</v>
      </c>
      <c r="I207" s="422">
        <f t="shared" si="76"/>
        <v>97563.681243801591</v>
      </c>
      <c r="J207" s="422">
        <f t="shared" si="76"/>
        <v>99376.175659467553</v>
      </c>
      <c r="K207" s="422">
        <f t="shared" si="76"/>
        <v>101200.16469497287</v>
      </c>
      <c r="L207" s="422">
        <f t="shared" si="76"/>
        <v>103035.76858268073</v>
      </c>
      <c r="M207" s="422">
        <f t="shared" si="76"/>
        <v>104883.10923764265</v>
      </c>
      <c r="N207" s="422">
        <f t="shared" si="76"/>
        <v>107111.48361916673</v>
      </c>
      <c r="O207" s="422">
        <f t="shared" si="76"/>
        <v>109354.1759058457</v>
      </c>
      <c r="P207" s="422">
        <f t="shared" si="76"/>
        <v>111611.33797949398</v>
      </c>
      <c r="Q207" s="422">
        <f t="shared" si="76"/>
        <v>113883.12387772938</v>
      </c>
      <c r="R207" s="422">
        <f t="shared" si="76"/>
        <v>116169.68983235865</v>
      </c>
      <c r="S207" s="422">
        <f t="shared" si="76"/>
        <v>118471.19430858591</v>
      </c>
      <c r="T207" s="422">
        <f t="shared" si="76"/>
        <v>120787.79804506517</v>
      </c>
      <c r="U207" s="422">
        <f t="shared" si="76"/>
        <v>123119.66409481745</v>
      </c>
      <c r="V207" s="422">
        <f t="shared" si="76"/>
        <v>125466.95786703499</v>
      </c>
      <c r="W207" s="422">
        <f t="shared" si="76"/>
        <v>127829.84716979509</v>
      </c>
      <c r="X207" s="422">
        <f t="shared" si="76"/>
        <v>130562.20227612513</v>
      </c>
      <c r="Y207" s="422">
        <f t="shared" si="76"/>
        <v>133312.82034982473</v>
      </c>
      <c r="Z207" s="422">
        <f t="shared" si="76"/>
        <v>136081.90222252117</v>
      </c>
      <c r="AA207" s="422">
        <f t="shared" si="76"/>
        <v>138869.6516813112</v>
      </c>
      <c r="AB207" s="422">
        <f t="shared" si="76"/>
        <v>141676.27552332816</v>
      </c>
      <c r="AC207" s="422">
        <f t="shared" si="76"/>
        <v>144501.98361152242</v>
      </c>
      <c r="AD207" s="335"/>
      <c r="AE207"/>
      <c r="AF207"/>
      <c r="AG207"/>
      <c r="AH207"/>
      <c r="AI207"/>
      <c r="AJ207"/>
      <c r="AK207"/>
      <c r="AL207"/>
      <c r="AM207"/>
      <c r="AN207"/>
      <c r="AO207"/>
      <c r="AP207"/>
      <c r="AQ207"/>
      <c r="AR207"/>
      <c r="AS207"/>
      <c r="AT207"/>
      <c r="AU207"/>
      <c r="AV207"/>
      <c r="AW207"/>
      <c r="AX207"/>
      <c r="AY207"/>
      <c r="AZ207"/>
      <c r="BA207"/>
    </row>
    <row r="208" spans="1:53" ht="15.75">
      <c r="C208" s="403" t="s">
        <v>200</v>
      </c>
      <c r="D208" s="416">
        <f t="shared" si="73"/>
        <v>-8972.3531208461482</v>
      </c>
      <c r="F208" s="422">
        <f>F120-F118</f>
        <v>0</v>
      </c>
      <c r="G208" s="422">
        <f t="shared" ref="G208:AC208" si="77">G120-G118</f>
        <v>-194310.58763170909</v>
      </c>
      <c r="H208" s="422">
        <f t="shared" si="77"/>
        <v>-389925.267050664</v>
      </c>
      <c r="I208" s="422">
        <f t="shared" si="77"/>
        <v>-391235.40972934716</v>
      </c>
      <c r="J208" s="422">
        <f t="shared" si="77"/>
        <v>-392551.62943898427</v>
      </c>
      <c r="K208" s="422">
        <f t="shared" si="77"/>
        <v>-393873.95243495377</v>
      </c>
      <c r="L208" s="422">
        <f t="shared" si="77"/>
        <v>-395202.40508901409</v>
      </c>
      <c r="M208" s="422">
        <f t="shared" si="77"/>
        <v>-396071.73786808416</v>
      </c>
      <c r="N208" s="422">
        <f t="shared" si="77"/>
        <v>-396670.2725217038</v>
      </c>
      <c r="O208" s="422">
        <f t="shared" si="77"/>
        <v>-397271.07318476652</v>
      </c>
      <c r="P208" s="422">
        <f t="shared" si="77"/>
        <v>-397874.14629744412</v>
      </c>
      <c r="Q208" s="422">
        <f t="shared" si="77"/>
        <v>-398479.49831823388</v>
      </c>
      <c r="R208" s="422">
        <f t="shared" si="77"/>
        <v>-399087.13572401024</v>
      </c>
      <c r="S208" s="422">
        <f t="shared" si="77"/>
        <v>-399697.06501007755</v>
      </c>
      <c r="T208" s="422">
        <f t="shared" si="77"/>
        <v>-400309.29269022244</v>
      </c>
      <c r="U208" s="422">
        <f t="shared" si="77"/>
        <v>-400923.82529676612</v>
      </c>
      <c r="V208" s="422">
        <f t="shared" si="77"/>
        <v>-401540.6693806175</v>
      </c>
      <c r="W208" s="422">
        <f t="shared" si="77"/>
        <v>-402057.08440427994</v>
      </c>
      <c r="X208" s="422">
        <f t="shared" si="77"/>
        <v>-402742.27217491041</v>
      </c>
      <c r="Y208" s="422">
        <f t="shared" si="77"/>
        <v>-403327.04408058414</v>
      </c>
      <c r="Z208" s="422">
        <f t="shared" si="77"/>
        <v>-403914.15385413606</v>
      </c>
      <c r="AA208" s="422">
        <f t="shared" si="77"/>
        <v>-404503.60814020893</v>
      </c>
      <c r="AB208" s="422">
        <f t="shared" si="77"/>
        <v>-405095.41360235284</v>
      </c>
      <c r="AC208" s="422">
        <f t="shared" si="77"/>
        <v>-405689.57692307886</v>
      </c>
    </row>
    <row r="209" spans="1:53" s="76" customFormat="1" ht="15.75">
      <c r="A209" s="25"/>
      <c r="B209" s="25"/>
      <c r="C209" s="403" t="s">
        <v>201</v>
      </c>
      <c r="D209" s="416">
        <f t="shared" si="73"/>
        <v>1402.0832973271611</v>
      </c>
      <c r="E209" s="25"/>
      <c r="F209" s="422">
        <f>F140+F123</f>
        <v>0</v>
      </c>
      <c r="G209" s="422">
        <f t="shared" ref="G209:AC209" si="78">G140+G123</f>
        <v>37718.397261338607</v>
      </c>
      <c r="H209" s="422">
        <f t="shared" si="78"/>
        <v>73226.49129901691</v>
      </c>
      <c r="I209" s="422">
        <f t="shared" si="78"/>
        <v>70952.767369957146</v>
      </c>
      <c r="J209" s="422">
        <f t="shared" si="78"/>
        <v>68697.439948262894</v>
      </c>
      <c r="K209" s="422">
        <f t="shared" si="78"/>
        <v>66302.705554192798</v>
      </c>
      <c r="L209" s="422">
        <f t="shared" si="78"/>
        <v>63799.789066057128</v>
      </c>
      <c r="M209" s="422">
        <f t="shared" si="78"/>
        <v>61184.846023551923</v>
      </c>
      <c r="N209" s="422">
        <f t="shared" si="78"/>
        <v>58765.885103331129</v>
      </c>
      <c r="O209" s="422">
        <f t="shared" si="78"/>
        <v>56857.323620465933</v>
      </c>
      <c r="P209" s="422">
        <f t="shared" si="78"/>
        <v>57311.768153641635</v>
      </c>
      <c r="Q209" s="422">
        <f t="shared" si="78"/>
        <v>57737.318981123841</v>
      </c>
      <c r="R209" s="422">
        <f t="shared" si="78"/>
        <v>58151.844110758706</v>
      </c>
      <c r="S209" s="422">
        <f t="shared" si="78"/>
        <v>58537.255370018102</v>
      </c>
      <c r="T209" s="422">
        <f t="shared" si="78"/>
        <v>58911.547576650701</v>
      </c>
      <c r="U209" s="422">
        <f t="shared" si="78"/>
        <v>59256.521565456256</v>
      </c>
      <c r="V209" s="422">
        <f t="shared" si="78"/>
        <v>59590.267293434059</v>
      </c>
      <c r="W209" s="422">
        <f t="shared" si="78"/>
        <v>59894.50627314578</v>
      </c>
      <c r="X209" s="422">
        <f t="shared" si="78"/>
        <v>60341.703385945606</v>
      </c>
      <c r="Y209" s="422">
        <f t="shared" si="78"/>
        <v>60774.791153712038</v>
      </c>
      <c r="Z209" s="422">
        <f t="shared" si="78"/>
        <v>61866.794049113269</v>
      </c>
      <c r="AA209" s="422">
        <f t="shared" si="78"/>
        <v>62969.511376952767</v>
      </c>
      <c r="AB209" s="422">
        <f t="shared" si="78"/>
        <v>64064.09917937842</v>
      </c>
      <c r="AC209" s="422">
        <f t="shared" si="78"/>
        <v>65169.723611655325</v>
      </c>
      <c r="AD209" s="335"/>
      <c r="AE209"/>
      <c r="AF209"/>
      <c r="AG209"/>
      <c r="AH209"/>
      <c r="AI209"/>
      <c r="AJ209"/>
      <c r="AK209"/>
      <c r="AL209"/>
      <c r="AM209"/>
      <c r="AN209"/>
      <c r="AO209"/>
      <c r="AP209"/>
      <c r="AQ209"/>
      <c r="AR209"/>
      <c r="AS209"/>
      <c r="AT209"/>
      <c r="AU209"/>
      <c r="AV209"/>
      <c r="AW209"/>
      <c r="AX209"/>
      <c r="AY209"/>
      <c r="AZ209"/>
      <c r="BA209"/>
    </row>
    <row r="210" spans="1:53" s="76" customFormat="1" ht="15.75">
      <c r="A210" s="36"/>
      <c r="B210" s="36"/>
      <c r="C210" s="403" t="s">
        <v>579</v>
      </c>
      <c r="D210" s="416">
        <f t="shared" si="73"/>
        <v>10.369318512531921</v>
      </c>
      <c r="E210" s="25"/>
      <c r="F210" s="422">
        <f>F145</f>
        <v>0</v>
      </c>
      <c r="G210" s="422">
        <f t="shared" ref="G210:AC210" si="79">G145</f>
        <v>191.1312170938285</v>
      </c>
      <c r="H210" s="422">
        <f t="shared" si="79"/>
        <v>388.34915496782838</v>
      </c>
      <c r="I210" s="422">
        <f t="shared" si="79"/>
        <v>394.43587574799955</v>
      </c>
      <c r="J210" s="422">
        <f t="shared" si="79"/>
        <v>400.52259652817088</v>
      </c>
      <c r="K210" s="422">
        <f t="shared" si="79"/>
        <v>406.60931730834193</v>
      </c>
      <c r="L210" s="422">
        <f t="shared" si="79"/>
        <v>412.69603808851332</v>
      </c>
      <c r="M210" s="422">
        <f t="shared" si="79"/>
        <v>418.78275886868448</v>
      </c>
      <c r="N210" s="422">
        <f t="shared" si="79"/>
        <v>426.33891085244028</v>
      </c>
      <c r="O210" s="422">
        <f t="shared" si="79"/>
        <v>433.89506283619596</v>
      </c>
      <c r="P210" s="422">
        <f t="shared" si="79"/>
        <v>441.4512148199517</v>
      </c>
      <c r="Q210" s="422">
        <f t="shared" si="79"/>
        <v>449.00736680370744</v>
      </c>
      <c r="R210" s="422">
        <f t="shared" si="79"/>
        <v>456.56351878746312</v>
      </c>
      <c r="S210" s="422">
        <f t="shared" si="79"/>
        <v>464.11967077121892</v>
      </c>
      <c r="T210" s="422">
        <f t="shared" si="79"/>
        <v>471.6758227549746</v>
      </c>
      <c r="U210" s="422">
        <f t="shared" si="79"/>
        <v>479.23197473873034</v>
      </c>
      <c r="V210" s="422">
        <f t="shared" si="79"/>
        <v>486.78812672248603</v>
      </c>
      <c r="W210" s="422">
        <f t="shared" si="79"/>
        <v>494.34427870624177</v>
      </c>
      <c r="X210" s="422">
        <f t="shared" si="79"/>
        <v>503.26379936803664</v>
      </c>
      <c r="Y210" s="422">
        <f t="shared" si="79"/>
        <v>512.18332002983152</v>
      </c>
      <c r="Z210" s="422">
        <f t="shared" si="79"/>
        <v>521.10284069162651</v>
      </c>
      <c r="AA210" s="422">
        <f t="shared" si="79"/>
        <v>530.02236135342127</v>
      </c>
      <c r="AB210" s="422">
        <f t="shared" si="79"/>
        <v>538.94188201521638</v>
      </c>
      <c r="AC210" s="422">
        <f t="shared" si="79"/>
        <v>547.86140267701137</v>
      </c>
      <c r="AD210" s="335"/>
      <c r="AE210"/>
      <c r="AF210"/>
      <c r="AG210"/>
      <c r="AH210"/>
      <c r="AI210"/>
      <c r="AJ210"/>
      <c r="AK210"/>
      <c r="AL210"/>
      <c r="AM210"/>
      <c r="AN210"/>
      <c r="AO210"/>
      <c r="AP210"/>
      <c r="AQ210"/>
      <c r="AR210"/>
      <c r="AS210"/>
      <c r="AT210"/>
      <c r="AU210"/>
      <c r="AV210"/>
      <c r="AW210"/>
      <c r="AX210"/>
      <c r="AY210"/>
      <c r="AZ210"/>
      <c r="BA210"/>
    </row>
    <row r="211" spans="1:53" s="76" customFormat="1" ht="15.75">
      <c r="A211" s="25"/>
      <c r="B211" s="25"/>
      <c r="C211" s="403" t="s">
        <v>202</v>
      </c>
      <c r="D211" s="416">
        <f t="shared" si="73"/>
        <v>31326.084614325169</v>
      </c>
      <c r="E211" s="25"/>
      <c r="F211" s="422">
        <f>F158+F160+F171+F173+F177+F179+F181</f>
        <v>0</v>
      </c>
      <c r="G211" s="422">
        <f t="shared" ref="G211:AC211" si="80">G158+G160+G171+G173+G177+G179+G181</f>
        <v>577414.28926926258</v>
      </c>
      <c r="H211" s="422">
        <f t="shared" si="80"/>
        <v>1173216.7811916678</v>
      </c>
      <c r="I211" s="422">
        <f t="shared" si="80"/>
        <v>1191604.9838448095</v>
      </c>
      <c r="J211" s="422">
        <f t="shared" si="80"/>
        <v>1209993.1864979516</v>
      </c>
      <c r="K211" s="422">
        <f t="shared" si="80"/>
        <v>1228381.3891510938</v>
      </c>
      <c r="L211" s="422">
        <f t="shared" si="80"/>
        <v>1246769.5918042364</v>
      </c>
      <c r="M211" s="422">
        <f t="shared" si="80"/>
        <v>1265157.7944573783</v>
      </c>
      <c r="N211" s="422">
        <f t="shared" si="80"/>
        <v>1287985.2016891807</v>
      </c>
      <c r="O211" s="422">
        <f t="shared" si="80"/>
        <v>1310812.608920983</v>
      </c>
      <c r="P211" s="422">
        <f t="shared" si="80"/>
        <v>1333640.0161527852</v>
      </c>
      <c r="Q211" s="422">
        <f t="shared" si="80"/>
        <v>1356467.4233845873</v>
      </c>
      <c r="R211" s="422">
        <f t="shared" si="80"/>
        <v>1379294.8306163899</v>
      </c>
      <c r="S211" s="422">
        <f t="shared" si="80"/>
        <v>1402122.237848192</v>
      </c>
      <c r="T211" s="422">
        <f t="shared" si="80"/>
        <v>1424949.6450799941</v>
      </c>
      <c r="U211" s="422">
        <f t="shared" si="80"/>
        <v>1447777.0523117969</v>
      </c>
      <c r="V211" s="422">
        <f t="shared" si="80"/>
        <v>1470604.4595435993</v>
      </c>
      <c r="W211" s="422">
        <f t="shared" si="80"/>
        <v>1493431.8667754016</v>
      </c>
      <c r="X211" s="422">
        <f t="shared" si="80"/>
        <v>1520378.0598769942</v>
      </c>
      <c r="Y211" s="422">
        <f t="shared" si="80"/>
        <v>1547324.2529785873</v>
      </c>
      <c r="Z211" s="422">
        <f t="shared" si="80"/>
        <v>1574270.4460801806</v>
      </c>
      <c r="AA211" s="422">
        <f t="shared" si="80"/>
        <v>1601216.6391817736</v>
      </c>
      <c r="AB211" s="422">
        <f t="shared" si="80"/>
        <v>1628162.8322833667</v>
      </c>
      <c r="AC211" s="422">
        <f t="shared" si="80"/>
        <v>1655109.02538496</v>
      </c>
      <c r="AD211" s="335"/>
      <c r="AE211"/>
      <c r="AF211"/>
      <c r="AG211"/>
      <c r="AH211"/>
      <c r="AI211"/>
      <c r="AJ211"/>
      <c r="AK211"/>
      <c r="AL211"/>
      <c r="AM211"/>
      <c r="AN211"/>
      <c r="AO211"/>
      <c r="AP211"/>
      <c r="AQ211"/>
      <c r="AR211"/>
      <c r="AS211"/>
      <c r="AT211"/>
      <c r="AU211"/>
      <c r="AV211"/>
      <c r="AW211"/>
      <c r="AX211"/>
      <c r="AY211"/>
      <c r="AZ211"/>
      <c r="BA211"/>
    </row>
    <row r="212" spans="1:53" s="76" customFormat="1" ht="15.75">
      <c r="A212" s="25"/>
      <c r="B212" s="25"/>
      <c r="C212" s="402"/>
      <c r="D212" s="417"/>
      <c r="E212" s="25"/>
      <c r="F212" s="413">
        <f>SUM(F205:F211)</f>
        <v>0</v>
      </c>
      <c r="G212" s="413">
        <f t="shared" ref="G212:AC212" si="81">SUM(G205:G211)</f>
        <v>570451.28353325557</v>
      </c>
      <c r="H212" s="413">
        <f t="shared" si="81"/>
        <v>1198408.3659256764</v>
      </c>
      <c r="I212" s="413">
        <f t="shared" si="81"/>
        <v>1219292.7311376673</v>
      </c>
      <c r="J212" s="413">
        <f t="shared" si="81"/>
        <v>1240216.7558213193</v>
      </c>
      <c r="K212" s="413">
        <f t="shared" si="81"/>
        <v>1261022.8952210082</v>
      </c>
      <c r="L212" s="413">
        <f t="shared" si="81"/>
        <v>1281742.6367972533</v>
      </c>
      <c r="M212" s="413">
        <f t="shared" si="81"/>
        <v>1302837.6786207955</v>
      </c>
      <c r="N212" s="413">
        <f t="shared" si="81"/>
        <v>1330177.2599848122</v>
      </c>
      <c r="O212" s="413">
        <f t="shared" si="81"/>
        <v>1358059.3849420049</v>
      </c>
      <c r="P212" s="413">
        <f t="shared" si="81"/>
        <v>1388337.0186478551</v>
      </c>
      <c r="Q212" s="413">
        <f t="shared" si="81"/>
        <v>1418618.6251201343</v>
      </c>
      <c r="R212" s="413">
        <f t="shared" si="81"/>
        <v>1448922.441361102</v>
      </c>
      <c r="S212" s="413">
        <f t="shared" si="81"/>
        <v>1479230.7535417282</v>
      </c>
      <c r="T212" s="413">
        <f t="shared" si="81"/>
        <v>1509561.9362685517</v>
      </c>
      <c r="U212" s="413">
        <f t="shared" si="81"/>
        <v>1539898.1757087372</v>
      </c>
      <c r="V212" s="413">
        <f t="shared" si="81"/>
        <v>1570257.9527956364</v>
      </c>
      <c r="W212" s="413">
        <f t="shared" si="81"/>
        <v>1600726.1328718015</v>
      </c>
      <c r="X212" s="413">
        <f t="shared" si="81"/>
        <v>1636567.5190744235</v>
      </c>
      <c r="Y212" s="413">
        <f t="shared" si="81"/>
        <v>1672539.1031147696</v>
      </c>
      <c r="Z212" s="413">
        <f t="shared" si="81"/>
        <v>1709211.6383905343</v>
      </c>
      <c r="AA212" s="413">
        <f t="shared" si="81"/>
        <v>1745937.4073226079</v>
      </c>
      <c r="AB212" s="413">
        <f t="shared" si="81"/>
        <v>1782698.0562843273</v>
      </c>
      <c r="AC212" s="413">
        <f t="shared" si="81"/>
        <v>1819513.2491112517</v>
      </c>
      <c r="AD212" s="335"/>
      <c r="AE212"/>
      <c r="AF212"/>
      <c r="AG212"/>
      <c r="AH212"/>
      <c r="AI212"/>
      <c r="AJ212"/>
      <c r="AK212"/>
      <c r="AL212"/>
      <c r="AM212"/>
      <c r="AN212"/>
      <c r="AO212"/>
      <c r="AP212"/>
      <c r="AQ212"/>
      <c r="AR212"/>
      <c r="AS212"/>
      <c r="AT212"/>
      <c r="AU212"/>
      <c r="AV212"/>
      <c r="AW212"/>
      <c r="AX212"/>
      <c r="AY212"/>
      <c r="AZ212"/>
      <c r="BA212"/>
    </row>
    <row r="213" spans="1:53" s="76" customFormat="1" ht="15.75">
      <c r="A213" s="25"/>
      <c r="B213" s="25"/>
      <c r="C213" s="401" t="s">
        <v>182</v>
      </c>
      <c r="D213" s="418"/>
      <c r="E213" s="25"/>
      <c r="F213" s="25"/>
      <c r="G213" s="25"/>
      <c r="H213" s="25"/>
      <c r="I213" s="25"/>
      <c r="J213" s="25"/>
      <c r="K213" s="25"/>
      <c r="L213" s="25"/>
      <c r="M213" s="25"/>
      <c r="N213" s="25"/>
      <c r="O213" s="25"/>
      <c r="P213" s="25"/>
      <c r="Q213" s="25"/>
      <c r="R213" s="25"/>
      <c r="S213" s="25"/>
      <c r="T213" s="25"/>
      <c r="U213" s="25"/>
      <c r="V213" s="25"/>
      <c r="W213" s="25"/>
      <c r="X213" s="25"/>
      <c r="Y213" s="25"/>
      <c r="Z213" s="25"/>
      <c r="AA213" s="25"/>
      <c r="AB213" s="25"/>
      <c r="AC213" s="25"/>
      <c r="AD213" s="335"/>
      <c r="AE213"/>
      <c r="AF213"/>
      <c r="AG213"/>
      <c r="AH213"/>
      <c r="AI213"/>
      <c r="AJ213"/>
      <c r="AK213"/>
      <c r="AL213"/>
      <c r="AM213"/>
      <c r="AN213"/>
      <c r="AO213"/>
      <c r="AP213"/>
      <c r="AQ213"/>
      <c r="AR213"/>
      <c r="AS213"/>
      <c r="AT213"/>
      <c r="AU213"/>
      <c r="AV213"/>
      <c r="AW213"/>
      <c r="AX213"/>
      <c r="AY213"/>
      <c r="AZ213"/>
      <c r="BA213"/>
    </row>
    <row r="214" spans="1:53" s="76" customFormat="1" ht="15.75">
      <c r="A214" s="25"/>
      <c r="B214" s="25"/>
      <c r="C214" s="401" t="s">
        <v>183</v>
      </c>
      <c r="D214" s="419">
        <f>IRR(F214:AC214)</f>
        <v>0.25469391665798774</v>
      </c>
      <c r="E214" s="25"/>
      <c r="F214" s="415">
        <f>F203+F212</f>
        <v>-1614488.9667743067</v>
      </c>
      <c r="G214" s="415">
        <f t="shared" ref="G214:AC214" si="82">G203+G212</f>
        <v>-2239872.6811393555</v>
      </c>
      <c r="H214" s="415">
        <f t="shared" si="82"/>
        <v>1016821.9981465632</v>
      </c>
      <c r="I214" s="415">
        <f t="shared" si="82"/>
        <v>1034860.3020139672</v>
      </c>
      <c r="J214" s="415">
        <f t="shared" si="82"/>
        <v>1052938.2653530322</v>
      </c>
      <c r="K214" s="415">
        <f t="shared" si="82"/>
        <v>1070898.3434081341</v>
      </c>
      <c r="L214" s="415">
        <f t="shared" si="82"/>
        <v>1088772.0236397921</v>
      </c>
      <c r="M214" s="415">
        <f t="shared" si="82"/>
        <v>1107021.0041187475</v>
      </c>
      <c r="N214" s="415">
        <f t="shared" si="82"/>
        <v>1130827.4396639434</v>
      </c>
      <c r="O214" s="415">
        <f t="shared" si="82"/>
        <v>1155176.4188023154</v>
      </c>
      <c r="P214" s="415">
        <f t="shared" si="82"/>
        <v>1181920.9066893449</v>
      </c>
      <c r="Q214" s="415">
        <f t="shared" si="82"/>
        <v>1208669.3673428034</v>
      </c>
      <c r="R214" s="415">
        <f t="shared" si="82"/>
        <v>1235440.0377649504</v>
      </c>
      <c r="S214" s="415">
        <f t="shared" si="82"/>
        <v>1262215.2041267559</v>
      </c>
      <c r="T214" s="415">
        <f t="shared" si="82"/>
        <v>1289013.2410347587</v>
      </c>
      <c r="U214" s="415">
        <f t="shared" si="82"/>
        <v>1315816.3346561235</v>
      </c>
      <c r="V214" s="415">
        <f t="shared" si="82"/>
        <v>1342642.965924202</v>
      </c>
      <c r="W214" s="415">
        <f t="shared" si="82"/>
        <v>1369578.0001815462</v>
      </c>
      <c r="X214" s="415">
        <f t="shared" si="82"/>
        <v>1401248.7493721209</v>
      </c>
      <c r="Y214" s="415">
        <f t="shared" si="82"/>
        <v>1433049.6964004198</v>
      </c>
      <c r="Z214" s="415">
        <f t="shared" si="82"/>
        <v>1465551.5946641373</v>
      </c>
      <c r="AA214" s="415">
        <f t="shared" si="82"/>
        <v>1498106.726584164</v>
      </c>
      <c r="AB214" s="415">
        <f t="shared" si="82"/>
        <v>1530696.7385338359</v>
      </c>
      <c r="AC214" s="415">
        <f t="shared" si="82"/>
        <v>1563341.294348713</v>
      </c>
      <c r="AD214" s="335"/>
      <c r="AE214"/>
      <c r="AF214"/>
      <c r="AG214"/>
      <c r="AH214"/>
      <c r="AI214"/>
      <c r="AJ214"/>
      <c r="AK214"/>
      <c r="AL214"/>
      <c r="AM214"/>
      <c r="AN214"/>
      <c r="AO214"/>
      <c r="AP214"/>
      <c r="AQ214"/>
      <c r="AR214"/>
      <c r="AS214"/>
      <c r="AT214"/>
      <c r="AU214"/>
      <c r="AV214"/>
      <c r="AW214"/>
      <c r="AX214"/>
      <c r="AY214"/>
      <c r="AZ214"/>
      <c r="BA214"/>
    </row>
    <row r="215" spans="1:53" s="76" customFormat="1" ht="15.75">
      <c r="A215" s="25"/>
      <c r="B215" s="25"/>
      <c r="C215" s="401" t="s">
        <v>184</v>
      </c>
      <c r="D215" s="420">
        <f>SUM(D205:D211)/SUM(D199:D202)</f>
        <v>3.6023831284265149</v>
      </c>
      <c r="E215" s="25"/>
      <c r="F215" s="407">
        <f t="shared" ref="F215:AC215" si="83">F214-F187</f>
        <v>0</v>
      </c>
      <c r="G215" s="407">
        <f t="shared" si="83"/>
        <v>0</v>
      </c>
      <c r="H215" s="407">
        <f t="shared" si="83"/>
        <v>0</v>
      </c>
      <c r="I215" s="407">
        <f t="shared" si="83"/>
        <v>0</v>
      </c>
      <c r="J215" s="407">
        <f t="shared" si="83"/>
        <v>0</v>
      </c>
      <c r="K215" s="407">
        <f t="shared" si="83"/>
        <v>0</v>
      </c>
      <c r="L215" s="407">
        <f t="shared" si="83"/>
        <v>0</v>
      </c>
      <c r="M215" s="407">
        <f t="shared" si="83"/>
        <v>0</v>
      </c>
      <c r="N215" s="407">
        <f t="shared" si="83"/>
        <v>0</v>
      </c>
      <c r="O215" s="407">
        <f t="shared" si="83"/>
        <v>0</v>
      </c>
      <c r="P215" s="407">
        <f t="shared" si="83"/>
        <v>0</v>
      </c>
      <c r="Q215" s="407">
        <f t="shared" si="83"/>
        <v>0</v>
      </c>
      <c r="R215" s="407">
        <f t="shared" si="83"/>
        <v>0</v>
      </c>
      <c r="S215" s="407">
        <f t="shared" si="83"/>
        <v>0</v>
      </c>
      <c r="T215" s="407">
        <f t="shared" si="83"/>
        <v>0</v>
      </c>
      <c r="U215" s="407">
        <f t="shared" si="83"/>
        <v>0</v>
      </c>
      <c r="V215" s="407">
        <f t="shared" si="83"/>
        <v>0</v>
      </c>
      <c r="W215" s="407">
        <f t="shared" si="83"/>
        <v>0</v>
      </c>
      <c r="X215" s="407">
        <f t="shared" si="83"/>
        <v>0</v>
      </c>
      <c r="Y215" s="407">
        <f t="shared" si="83"/>
        <v>0</v>
      </c>
      <c r="Z215" s="407">
        <f t="shared" si="83"/>
        <v>0</v>
      </c>
      <c r="AA215" s="407">
        <f t="shared" si="83"/>
        <v>0</v>
      </c>
      <c r="AB215" s="407">
        <f t="shared" si="83"/>
        <v>0</v>
      </c>
      <c r="AC215" s="407">
        <f t="shared" si="83"/>
        <v>0</v>
      </c>
      <c r="AD215" s="335"/>
      <c r="AE215"/>
      <c r="AF215"/>
      <c r="AG215"/>
      <c r="AH215"/>
      <c r="AI215"/>
      <c r="AJ215"/>
      <c r="AK215"/>
      <c r="AL215"/>
      <c r="AM215"/>
      <c r="AN215"/>
      <c r="AO215"/>
      <c r="AP215"/>
      <c r="AQ215"/>
      <c r="AR215"/>
      <c r="AS215"/>
      <c r="AT215"/>
      <c r="AU215"/>
      <c r="AV215"/>
      <c r="AW215"/>
      <c r="AX215"/>
      <c r="AY215"/>
      <c r="AZ215"/>
      <c r="BA215"/>
    </row>
    <row r="216" spans="1:53" s="76" customFormat="1">
      <c r="A216" s="25"/>
      <c r="B216" s="25"/>
      <c r="C216" s="50"/>
      <c r="D216" s="40"/>
      <c r="E216" s="25"/>
      <c r="F216" s="39"/>
      <c r="H216"/>
      <c r="I216"/>
      <c r="J216"/>
      <c r="K216"/>
      <c r="L216"/>
      <c r="M216"/>
      <c r="N216"/>
      <c r="O216"/>
      <c r="P216"/>
      <c r="Q216"/>
      <c r="R216"/>
      <c r="S216"/>
      <c r="T216"/>
      <c r="U216"/>
      <c r="V216"/>
      <c r="W216"/>
      <c r="X216"/>
      <c r="Y216"/>
      <c r="Z216"/>
      <c r="AA216"/>
      <c r="AB216"/>
      <c r="AC216"/>
      <c r="AD216" s="335"/>
      <c r="AE216"/>
      <c r="AF216"/>
      <c r="AG216"/>
      <c r="AH216"/>
      <c r="AI216"/>
      <c r="AJ216"/>
      <c r="AK216"/>
      <c r="AL216"/>
      <c r="AM216"/>
      <c r="AN216"/>
      <c r="AO216"/>
      <c r="AP216"/>
      <c r="AQ216"/>
      <c r="AR216"/>
      <c r="AS216"/>
      <c r="AT216"/>
      <c r="AU216"/>
      <c r="AV216"/>
      <c r="AW216"/>
      <c r="AX216"/>
      <c r="AY216"/>
      <c r="AZ216"/>
      <c r="BA216"/>
    </row>
    <row r="217" spans="1:53" s="76" customFormat="1">
      <c r="A217" s="25"/>
      <c r="B217" s="25"/>
      <c r="C217" s="50"/>
      <c r="D217" s="25"/>
      <c r="E217" s="25"/>
      <c r="F217" s="39"/>
      <c r="H217"/>
      <c r="I217"/>
      <c r="J217"/>
      <c r="K217"/>
      <c r="L217"/>
      <c r="M217"/>
      <c r="N217"/>
      <c r="O217"/>
      <c r="P217"/>
      <c r="Q217"/>
      <c r="R217"/>
      <c r="S217"/>
      <c r="T217"/>
      <c r="U217"/>
      <c r="V217"/>
      <c r="W217"/>
      <c r="X217"/>
      <c r="Y217"/>
      <c r="Z217"/>
      <c r="AA217"/>
      <c r="AB217"/>
      <c r="AC217"/>
      <c r="AD217" s="335"/>
      <c r="AE217"/>
      <c r="AF217"/>
      <c r="AG217"/>
      <c r="AH217"/>
      <c r="AI217"/>
      <c r="AJ217"/>
      <c r="AK217"/>
      <c r="AL217"/>
      <c r="AM217"/>
      <c r="AN217"/>
      <c r="AO217"/>
      <c r="AP217"/>
      <c r="AQ217"/>
      <c r="AR217"/>
      <c r="AS217"/>
      <c r="AT217"/>
      <c r="AU217"/>
      <c r="AV217"/>
      <c r="AW217"/>
      <c r="AX217"/>
      <c r="AY217"/>
      <c r="AZ217"/>
      <c r="BA217"/>
    </row>
    <row r="218" spans="1:53" s="76" customFormat="1" ht="14.25">
      <c r="A218" s="25"/>
      <c r="B218" s="25"/>
      <c r="C218" s="412" t="s">
        <v>580</v>
      </c>
      <c r="D218" s="39"/>
      <c r="E218" s="39"/>
      <c r="F218" s="39"/>
      <c r="H218"/>
      <c r="I218"/>
      <c r="J218"/>
      <c r="K218"/>
      <c r="L218"/>
      <c r="M218"/>
      <c r="N218"/>
      <c r="O218"/>
      <c r="P218"/>
      <c r="Q218"/>
      <c r="R218"/>
      <c r="S218"/>
      <c r="T218"/>
      <c r="U218"/>
      <c r="V218"/>
      <c r="W218"/>
      <c r="X218"/>
      <c r="Y218"/>
      <c r="Z218"/>
      <c r="AA218"/>
      <c r="AB218"/>
      <c r="AC218"/>
      <c r="AD218" s="335"/>
      <c r="AE218"/>
      <c r="AF218"/>
      <c r="AG218"/>
      <c r="AH218"/>
      <c r="AI218"/>
      <c r="AJ218"/>
      <c r="AK218"/>
      <c r="AL218"/>
      <c r="AM218"/>
      <c r="AN218"/>
      <c r="AO218"/>
      <c r="AP218"/>
      <c r="AQ218"/>
      <c r="AR218"/>
      <c r="AS218"/>
      <c r="AT218"/>
      <c r="AU218"/>
      <c r="AV218"/>
      <c r="AW218"/>
      <c r="AX218"/>
      <c r="AY218"/>
      <c r="AZ218"/>
      <c r="BA218"/>
    </row>
    <row r="219" spans="1:53" s="76" customFormat="1" ht="15.75">
      <c r="A219" s="25"/>
      <c r="B219" s="25"/>
      <c r="C219" s="401" t="s">
        <v>1</v>
      </c>
      <c r="D219" s="418">
        <f>SUM(D220:D223)</f>
        <v>7403.2447193374073</v>
      </c>
      <c r="E219" s="39"/>
      <c r="F219" s="422"/>
      <c r="G219" s="422"/>
      <c r="H219" s="422"/>
      <c r="I219" s="422"/>
      <c r="J219" s="422"/>
      <c r="K219" s="422"/>
      <c r="L219" s="422"/>
      <c r="M219" s="422"/>
      <c r="N219" s="422"/>
      <c r="O219" s="422"/>
      <c r="P219" s="422"/>
      <c r="Q219" s="422"/>
      <c r="R219" s="422"/>
      <c r="S219" s="422"/>
      <c r="T219" s="422"/>
      <c r="U219" s="422"/>
      <c r="V219" s="422"/>
      <c r="W219" s="422"/>
      <c r="X219" s="422"/>
      <c r="Y219" s="422"/>
      <c r="Z219" s="422"/>
      <c r="AA219" s="422"/>
      <c r="AB219" s="422"/>
      <c r="AC219" s="422"/>
      <c r="AD219" s="335"/>
      <c r="AE219"/>
      <c r="AF219"/>
      <c r="AG219"/>
      <c r="AH219"/>
      <c r="AI219"/>
      <c r="AJ219"/>
      <c r="AK219"/>
      <c r="AL219"/>
      <c r="AM219"/>
      <c r="AN219"/>
      <c r="AO219"/>
      <c r="AP219"/>
      <c r="AQ219"/>
      <c r="AR219"/>
      <c r="AS219"/>
      <c r="AT219"/>
      <c r="AU219"/>
      <c r="AV219"/>
      <c r="AW219"/>
      <c r="AX219"/>
      <c r="AY219"/>
      <c r="AZ219"/>
      <c r="BA219"/>
    </row>
    <row r="220" spans="1:53" s="76" customFormat="1" ht="15.75">
      <c r="A220" s="25"/>
      <c r="B220" s="25"/>
      <c r="C220" s="403" t="s">
        <v>196</v>
      </c>
      <c r="D220" s="416">
        <f>-SUM(F220:AC220)/1000</f>
        <v>3831.9238382505418</v>
      </c>
      <c r="E220" s="39"/>
      <c r="F220" s="422">
        <f t="shared" ref="F220:AC220" si="84">F199*F$188</f>
        <v>-1465631.067961165</v>
      </c>
      <c r="G220" s="422">
        <f t="shared" si="84"/>
        <v>-2366292.7702893768</v>
      </c>
      <c r="H220" s="422">
        <f t="shared" si="84"/>
        <v>0</v>
      </c>
      <c r="I220" s="422">
        <f t="shared" si="84"/>
        <v>0</v>
      </c>
      <c r="J220" s="422">
        <f t="shared" si="84"/>
        <v>0</v>
      </c>
      <c r="K220" s="422">
        <f t="shared" si="84"/>
        <v>0</v>
      </c>
      <c r="L220" s="422">
        <f t="shared" si="84"/>
        <v>0</v>
      </c>
      <c r="M220" s="422">
        <f t="shared" si="84"/>
        <v>0</v>
      </c>
      <c r="N220" s="422">
        <f t="shared" si="84"/>
        <v>0</v>
      </c>
      <c r="O220" s="422">
        <f t="shared" si="84"/>
        <v>0</v>
      </c>
      <c r="P220" s="422">
        <f t="shared" si="84"/>
        <v>0</v>
      </c>
      <c r="Q220" s="422">
        <f t="shared" si="84"/>
        <v>0</v>
      </c>
      <c r="R220" s="422">
        <f t="shared" si="84"/>
        <v>0</v>
      </c>
      <c r="S220" s="422">
        <f t="shared" si="84"/>
        <v>0</v>
      </c>
      <c r="T220" s="422">
        <f t="shared" si="84"/>
        <v>0</v>
      </c>
      <c r="U220" s="422">
        <f t="shared" si="84"/>
        <v>0</v>
      </c>
      <c r="V220" s="422">
        <f t="shared" si="84"/>
        <v>0</v>
      </c>
      <c r="W220" s="422">
        <f t="shared" si="84"/>
        <v>0</v>
      </c>
      <c r="X220" s="422">
        <f t="shared" si="84"/>
        <v>0</v>
      </c>
      <c r="Y220" s="422">
        <f t="shared" si="84"/>
        <v>0</v>
      </c>
      <c r="Z220" s="422">
        <f t="shared" si="84"/>
        <v>0</v>
      </c>
      <c r="AA220" s="422">
        <f t="shared" si="84"/>
        <v>0</v>
      </c>
      <c r="AB220" s="422">
        <f t="shared" si="84"/>
        <v>0</v>
      </c>
      <c r="AC220" s="422">
        <f t="shared" si="84"/>
        <v>0</v>
      </c>
      <c r="AD220" s="335"/>
      <c r="AE220"/>
      <c r="AF220"/>
      <c r="AG220"/>
      <c r="AH220"/>
      <c r="AI220"/>
      <c r="AJ220"/>
      <c r="AK220"/>
      <c r="AL220"/>
      <c r="AM220"/>
      <c r="AN220"/>
      <c r="AO220"/>
      <c r="AP220"/>
      <c r="AQ220"/>
      <c r="AR220"/>
      <c r="AS220"/>
      <c r="AT220"/>
      <c r="AU220"/>
      <c r="AV220"/>
      <c r="AW220"/>
      <c r="AX220"/>
      <c r="AY220"/>
      <c r="AZ220"/>
      <c r="BA220"/>
    </row>
    <row r="221" spans="1:53" s="76" customFormat="1" ht="15.75">
      <c r="A221" s="25"/>
      <c r="B221" s="25"/>
      <c r="C221" s="403" t="s">
        <v>197</v>
      </c>
      <c r="D221" s="416">
        <f>-SUM(F221:AC221)/1000</f>
        <v>0</v>
      </c>
      <c r="E221" s="25"/>
      <c r="F221" s="422">
        <f t="shared" ref="F221:AC221" si="85">F200*F$188</f>
        <v>0</v>
      </c>
      <c r="G221" s="422">
        <f t="shared" si="85"/>
        <v>0</v>
      </c>
      <c r="H221" s="422">
        <f t="shared" si="85"/>
        <v>0</v>
      </c>
      <c r="I221" s="422">
        <f t="shared" si="85"/>
        <v>0</v>
      </c>
      <c r="J221" s="422">
        <f t="shared" si="85"/>
        <v>0</v>
      </c>
      <c r="K221" s="422">
        <f t="shared" si="85"/>
        <v>0</v>
      </c>
      <c r="L221" s="422">
        <f t="shared" si="85"/>
        <v>0</v>
      </c>
      <c r="M221" s="422">
        <f t="shared" si="85"/>
        <v>0</v>
      </c>
      <c r="N221" s="422">
        <f t="shared" si="85"/>
        <v>0</v>
      </c>
      <c r="O221" s="422">
        <f t="shared" si="85"/>
        <v>0</v>
      </c>
      <c r="P221" s="422">
        <f t="shared" si="85"/>
        <v>0</v>
      </c>
      <c r="Q221" s="422">
        <f t="shared" si="85"/>
        <v>0</v>
      </c>
      <c r="R221" s="422">
        <f t="shared" si="85"/>
        <v>0</v>
      </c>
      <c r="S221" s="422">
        <f t="shared" si="85"/>
        <v>0</v>
      </c>
      <c r="T221" s="422">
        <f t="shared" si="85"/>
        <v>0</v>
      </c>
      <c r="U221" s="422">
        <f t="shared" si="85"/>
        <v>0</v>
      </c>
      <c r="V221" s="422">
        <f t="shared" si="85"/>
        <v>0</v>
      </c>
      <c r="W221" s="422">
        <f t="shared" si="85"/>
        <v>0</v>
      </c>
      <c r="X221" s="422">
        <f t="shared" si="85"/>
        <v>0</v>
      </c>
      <c r="Y221" s="422">
        <f t="shared" si="85"/>
        <v>0</v>
      </c>
      <c r="Z221" s="422">
        <f t="shared" si="85"/>
        <v>0</v>
      </c>
      <c r="AA221" s="422">
        <f t="shared" si="85"/>
        <v>0</v>
      </c>
      <c r="AB221" s="422">
        <f t="shared" si="85"/>
        <v>0</v>
      </c>
      <c r="AC221" s="422">
        <f t="shared" si="85"/>
        <v>0</v>
      </c>
      <c r="AD221" s="335"/>
      <c r="AE221"/>
      <c r="AF221"/>
      <c r="AG221"/>
      <c r="AH221"/>
      <c r="AI221"/>
      <c r="AJ221"/>
      <c r="AK221"/>
      <c r="AL221"/>
      <c r="AM221"/>
      <c r="AN221"/>
      <c r="AO221"/>
      <c r="AP221"/>
      <c r="AQ221"/>
      <c r="AR221"/>
      <c r="AS221"/>
      <c r="AT221"/>
      <c r="AU221"/>
      <c r="AV221"/>
      <c r="AW221"/>
      <c r="AX221"/>
      <c r="AY221"/>
      <c r="AZ221"/>
      <c r="BA221"/>
    </row>
    <row r="222" spans="1:53" s="76" customFormat="1" ht="15.75">
      <c r="A222" s="25"/>
      <c r="B222" s="25"/>
      <c r="C222" s="404" t="s">
        <v>546</v>
      </c>
      <c r="D222" s="416">
        <f>-SUM(F222:AC222)/1000</f>
        <v>300.30110965490064</v>
      </c>
      <c r="E222" s="25"/>
      <c r="F222" s="422">
        <f t="shared" ref="F222:AC222" si="86">F201*F$188</f>
        <v>-101833.94832456962</v>
      </c>
      <c r="G222" s="422">
        <f t="shared" si="86"/>
        <v>-198467.16133033097</v>
      </c>
      <c r="H222" s="422">
        <f t="shared" si="86"/>
        <v>0</v>
      </c>
      <c r="I222" s="422">
        <f t="shared" si="86"/>
        <v>0</v>
      </c>
      <c r="J222" s="422">
        <f t="shared" si="86"/>
        <v>0</v>
      </c>
      <c r="K222" s="422">
        <f t="shared" si="86"/>
        <v>0</v>
      </c>
      <c r="L222" s="422">
        <f t="shared" si="86"/>
        <v>0</v>
      </c>
      <c r="M222" s="422">
        <f t="shared" si="86"/>
        <v>0</v>
      </c>
      <c r="N222" s="422">
        <f t="shared" si="86"/>
        <v>0</v>
      </c>
      <c r="O222" s="422">
        <f t="shared" si="86"/>
        <v>0</v>
      </c>
      <c r="P222" s="422">
        <f t="shared" si="86"/>
        <v>0</v>
      </c>
      <c r="Q222" s="422">
        <f t="shared" si="86"/>
        <v>0</v>
      </c>
      <c r="R222" s="422">
        <f t="shared" si="86"/>
        <v>0</v>
      </c>
      <c r="S222" s="422">
        <f t="shared" si="86"/>
        <v>0</v>
      </c>
      <c r="T222" s="422">
        <f t="shared" si="86"/>
        <v>0</v>
      </c>
      <c r="U222" s="422">
        <f t="shared" si="86"/>
        <v>0</v>
      </c>
      <c r="V222" s="422">
        <f t="shared" si="86"/>
        <v>0</v>
      </c>
      <c r="W222" s="422">
        <f t="shared" si="86"/>
        <v>0</v>
      </c>
      <c r="X222" s="422">
        <f t="shared" si="86"/>
        <v>0</v>
      </c>
      <c r="Y222" s="422">
        <f t="shared" si="86"/>
        <v>0</v>
      </c>
      <c r="Z222" s="422">
        <f t="shared" si="86"/>
        <v>0</v>
      </c>
      <c r="AA222" s="422">
        <f t="shared" si="86"/>
        <v>0</v>
      </c>
      <c r="AB222" s="422">
        <f t="shared" si="86"/>
        <v>0</v>
      </c>
      <c r="AC222" s="422">
        <f t="shared" si="86"/>
        <v>0</v>
      </c>
      <c r="AD222" s="335"/>
      <c r="AE222"/>
      <c r="AF222"/>
      <c r="AG222"/>
      <c r="AH222"/>
      <c r="AI222"/>
      <c r="AJ222"/>
      <c r="AK222"/>
      <c r="AL222"/>
      <c r="AM222"/>
      <c r="AN222"/>
      <c r="AO222"/>
      <c r="AP222"/>
      <c r="AQ222"/>
      <c r="AR222"/>
      <c r="AS222"/>
      <c r="AT222"/>
      <c r="AU222"/>
      <c r="AV222"/>
      <c r="AW222"/>
      <c r="AX222"/>
      <c r="AY222"/>
      <c r="AZ222"/>
      <c r="BA222"/>
    </row>
    <row r="223" spans="1:53" s="76" customFormat="1" ht="15.75">
      <c r="A223" s="25"/>
      <c r="B223" s="25"/>
      <c r="C223" s="403" t="s">
        <v>198</v>
      </c>
      <c r="D223" s="416">
        <f>-SUM(F223:AC223)/1000</f>
        <v>3271.0197714319647</v>
      </c>
      <c r="E223" s="25"/>
      <c r="F223" s="422">
        <f t="shared" ref="F223:AC223" si="87">F202*F$188</f>
        <v>0</v>
      </c>
      <c r="G223" s="422">
        <f t="shared" si="87"/>
        <v>-84239.940821249053</v>
      </c>
      <c r="H223" s="422">
        <f t="shared" si="87"/>
        <v>-166177.24992529079</v>
      </c>
      <c r="I223" s="422">
        <f t="shared" si="87"/>
        <v>-163865.82449203587</v>
      </c>
      <c r="J223" s="422">
        <f t="shared" si="87"/>
        <v>-161548.07100415044</v>
      </c>
      <c r="K223" s="422">
        <f t="shared" si="87"/>
        <v>-159226.31895231773</v>
      </c>
      <c r="L223" s="422">
        <f t="shared" si="87"/>
        <v>-156902.76749705369</v>
      </c>
      <c r="M223" s="422">
        <f t="shared" si="87"/>
        <v>-154579.49108456285</v>
      </c>
      <c r="N223" s="422">
        <f t="shared" si="87"/>
        <v>-152785.03788360933</v>
      </c>
      <c r="O223" s="422">
        <f t="shared" si="87"/>
        <v>-150963.98054074121</v>
      </c>
      <c r="P223" s="422">
        <f t="shared" si="87"/>
        <v>-149119.39111161992</v>
      </c>
      <c r="Q223" s="422">
        <f t="shared" si="87"/>
        <v>-147254.18526646795</v>
      </c>
      <c r="R223" s="422">
        <f t="shared" si="87"/>
        <v>-145371.12879376381</v>
      </c>
      <c r="S223" s="422">
        <f t="shared" si="87"/>
        <v>-143472.84385774861</v>
      </c>
      <c r="T223" s="422">
        <f t="shared" si="87"/>
        <v>-141561.81501856755</v>
      </c>
      <c r="U223" s="422">
        <f t="shared" si="87"/>
        <v>-139640.39502356545</v>
      </c>
      <c r="V223" s="422">
        <f t="shared" si="87"/>
        <v>-137710.81037795948</v>
      </c>
      <c r="W223" s="422">
        <f t="shared" si="87"/>
        <v>-135775.16670282884</v>
      </c>
      <c r="X223" s="422">
        <f t="shared" si="87"/>
        <v>-134199.0062077964</v>
      </c>
      <c r="Y223" s="422">
        <f t="shared" si="87"/>
        <v>-132599.47788220539</v>
      </c>
      <c r="Z223" s="422">
        <f t="shared" si="87"/>
        <v>-130979.28007309523</v>
      </c>
      <c r="AA223" s="422">
        <f t="shared" si="87"/>
        <v>-129340.97376602012</v>
      </c>
      <c r="AB223" s="422">
        <f t="shared" si="87"/>
        <v>-127686.98829758345</v>
      </c>
      <c r="AC223" s="422">
        <f t="shared" si="87"/>
        <v>-126019.62685173133</v>
      </c>
      <c r="AD223" s="335"/>
      <c r="AE223"/>
      <c r="AF223"/>
      <c r="AG223"/>
      <c r="AH223"/>
      <c r="AI223"/>
      <c r="AJ223"/>
      <c r="AK223"/>
      <c r="AL223"/>
      <c r="AM223"/>
      <c r="AN223"/>
      <c r="AO223"/>
      <c r="AP223"/>
      <c r="AQ223"/>
      <c r="AR223"/>
      <c r="AS223"/>
      <c r="AT223"/>
      <c r="AU223"/>
      <c r="AV223"/>
      <c r="AW223"/>
      <c r="AX223"/>
      <c r="AY223"/>
      <c r="AZ223"/>
      <c r="BA223"/>
    </row>
    <row r="224" spans="1:53" s="76" customFormat="1" ht="15.75">
      <c r="A224" s="25"/>
      <c r="B224" s="25"/>
      <c r="C224" s="402"/>
      <c r="D224" s="417"/>
      <c r="E224" s="25"/>
      <c r="F224" s="414">
        <f>SUM(F220:F223)</f>
        <v>-1567465.0162857347</v>
      </c>
      <c r="G224" s="414">
        <f t="shared" ref="G224:AC224" si="88">SUM(G220:G223)</f>
        <v>-2648999.872440957</v>
      </c>
      <c r="H224" s="414">
        <f t="shared" si="88"/>
        <v>-166177.24992529079</v>
      </c>
      <c r="I224" s="414">
        <f t="shared" si="88"/>
        <v>-163865.82449203587</v>
      </c>
      <c r="J224" s="414">
        <f t="shared" si="88"/>
        <v>-161548.07100415044</v>
      </c>
      <c r="K224" s="414">
        <f t="shared" si="88"/>
        <v>-159226.31895231773</v>
      </c>
      <c r="L224" s="414">
        <f t="shared" si="88"/>
        <v>-156902.76749705369</v>
      </c>
      <c r="M224" s="414">
        <f t="shared" si="88"/>
        <v>-154579.49108456285</v>
      </c>
      <c r="N224" s="414">
        <f t="shared" si="88"/>
        <v>-152785.03788360933</v>
      </c>
      <c r="O224" s="414">
        <f t="shared" si="88"/>
        <v>-150963.98054074121</v>
      </c>
      <c r="P224" s="414">
        <f t="shared" si="88"/>
        <v>-149119.39111161992</v>
      </c>
      <c r="Q224" s="414">
        <f t="shared" si="88"/>
        <v>-147254.18526646795</v>
      </c>
      <c r="R224" s="414">
        <f t="shared" si="88"/>
        <v>-145371.12879376381</v>
      </c>
      <c r="S224" s="414">
        <f t="shared" si="88"/>
        <v>-143472.84385774861</v>
      </c>
      <c r="T224" s="414">
        <f t="shared" si="88"/>
        <v>-141561.81501856755</v>
      </c>
      <c r="U224" s="414">
        <f t="shared" si="88"/>
        <v>-139640.39502356545</v>
      </c>
      <c r="V224" s="414">
        <f t="shared" si="88"/>
        <v>-137710.81037795948</v>
      </c>
      <c r="W224" s="414">
        <f t="shared" si="88"/>
        <v>-135775.16670282884</v>
      </c>
      <c r="X224" s="414">
        <f t="shared" si="88"/>
        <v>-134199.0062077964</v>
      </c>
      <c r="Y224" s="414">
        <f t="shared" si="88"/>
        <v>-132599.47788220539</v>
      </c>
      <c r="Z224" s="414">
        <f t="shared" si="88"/>
        <v>-130979.28007309523</v>
      </c>
      <c r="AA224" s="414">
        <f t="shared" si="88"/>
        <v>-129340.97376602012</v>
      </c>
      <c r="AB224" s="414">
        <f t="shared" si="88"/>
        <v>-127686.98829758345</v>
      </c>
      <c r="AC224" s="414">
        <f t="shared" si="88"/>
        <v>-126019.62685173133</v>
      </c>
      <c r="AD224" s="335"/>
      <c r="AE224"/>
      <c r="AF224"/>
      <c r="AG224"/>
      <c r="AH224"/>
      <c r="AI224"/>
      <c r="AJ224"/>
      <c r="AK224"/>
      <c r="AL224"/>
      <c r="AM224"/>
      <c r="AN224"/>
      <c r="AO224"/>
      <c r="AP224"/>
      <c r="AQ224"/>
      <c r="AR224"/>
      <c r="AS224"/>
      <c r="AT224"/>
      <c r="AU224"/>
      <c r="AV224"/>
      <c r="AW224"/>
      <c r="AX224"/>
      <c r="AY224"/>
      <c r="AZ224"/>
      <c r="BA224"/>
    </row>
    <row r="225" spans="1:53" s="76" customFormat="1" ht="15.75">
      <c r="A225" s="25"/>
      <c r="B225" s="25"/>
      <c r="C225" s="401" t="s">
        <v>0</v>
      </c>
      <c r="D225" s="418">
        <f>SUM(D226:D232)</f>
        <v>22213.364355686397</v>
      </c>
      <c r="E225" s="25"/>
      <c r="F225" s="406"/>
      <c r="G225" s="406"/>
      <c r="H225" s="406"/>
      <c r="I225" s="406"/>
      <c r="J225" s="406"/>
      <c r="K225" s="406"/>
      <c r="L225" s="406"/>
      <c r="M225" s="406"/>
      <c r="N225" s="406"/>
      <c r="O225" s="406"/>
      <c r="P225" s="406"/>
      <c r="Q225" s="406"/>
      <c r="R225" s="406"/>
      <c r="S225" s="406"/>
      <c r="T225" s="406"/>
      <c r="U225" s="406"/>
      <c r="V225" s="406"/>
      <c r="W225" s="406"/>
      <c r="X225" s="406"/>
      <c r="Y225" s="406"/>
      <c r="Z225" s="406"/>
      <c r="AA225" s="406"/>
      <c r="AB225" s="406"/>
      <c r="AC225" s="406"/>
      <c r="AD225" s="335"/>
      <c r="AE225"/>
      <c r="AF225"/>
      <c r="AG225"/>
      <c r="AH225"/>
      <c r="AI225"/>
      <c r="AJ225"/>
      <c r="AK225"/>
      <c r="AL225"/>
      <c r="AM225"/>
      <c r="AN225"/>
      <c r="AO225"/>
      <c r="AP225"/>
      <c r="AQ225"/>
      <c r="AR225"/>
      <c r="AS225"/>
      <c r="AT225"/>
      <c r="AU225"/>
      <c r="AV225"/>
      <c r="AW225"/>
      <c r="AX225"/>
      <c r="AY225"/>
      <c r="AZ225"/>
      <c r="BA225"/>
    </row>
    <row r="226" spans="1:53" s="76" customFormat="1" ht="15.75">
      <c r="A226" s="25"/>
      <c r="B226" s="25"/>
      <c r="C226" s="403" t="s">
        <v>577</v>
      </c>
      <c r="D226" s="416">
        <f t="shared" ref="D226:D232" si="89">SUM(F226:AC226)/1000</f>
        <v>1127.7479884179643</v>
      </c>
      <c r="E226" s="25"/>
      <c r="F226" s="424">
        <f t="shared" ref="F226:AC226" si="90">F205*F$188</f>
        <v>0</v>
      </c>
      <c r="G226" s="424">
        <f t="shared" si="90"/>
        <v>10103.41407696693</v>
      </c>
      <c r="H226" s="424">
        <f t="shared" si="90"/>
        <v>54315.635569252066</v>
      </c>
      <c r="I226" s="424">
        <f t="shared" si="90"/>
        <v>53934.43156652811</v>
      </c>
      <c r="J226" s="424">
        <f t="shared" si="90"/>
        <v>53543.126342881238</v>
      </c>
      <c r="K226" s="424">
        <f t="shared" si="90"/>
        <v>53142.369979469928</v>
      </c>
      <c r="L226" s="424">
        <f t="shared" si="90"/>
        <v>52732.788709021799</v>
      </c>
      <c r="M226" s="424">
        <f t="shared" si="90"/>
        <v>52314.985635155805</v>
      </c>
      <c r="N226" s="424">
        <f t="shared" si="90"/>
        <v>52069.00386756994</v>
      </c>
      <c r="O226" s="424">
        <f t="shared" si="90"/>
        <v>51807.920961170945</v>
      </c>
      <c r="P226" s="424">
        <f t="shared" si="90"/>
        <v>51532.543790299089</v>
      </c>
      <c r="Q226" s="424">
        <f t="shared" si="90"/>
        <v>51243.650873340019</v>
      </c>
      <c r="R226" s="424">
        <f t="shared" si="90"/>
        <v>50941.993213757807</v>
      </c>
      <c r="S226" s="424">
        <f t="shared" si="90"/>
        <v>50628.295119023016</v>
      </c>
      <c r="T226" s="424">
        <f t="shared" si="90"/>
        <v>50303.254997945267</v>
      </c>
      <c r="U226" s="424">
        <f t="shared" si="90"/>
        <v>49967.546136909405</v>
      </c>
      <c r="V226" s="424">
        <f t="shared" si="90"/>
        <v>49621.817455506272</v>
      </c>
      <c r="W226" s="424">
        <f t="shared" si="90"/>
        <v>49266.69424203947</v>
      </c>
      <c r="X226" s="424">
        <f t="shared" si="90"/>
        <v>49035.618996430036</v>
      </c>
      <c r="Y226" s="424">
        <f t="shared" si="90"/>
        <v>48790.399514988698</v>
      </c>
      <c r="Z226" s="424">
        <f t="shared" si="90"/>
        <v>48531.793963758144</v>
      </c>
      <c r="AA226" s="424">
        <f t="shared" si="90"/>
        <v>48260.533720073669</v>
      </c>
      <c r="AB226" s="424">
        <f t="shared" si="90"/>
        <v>47977.32417450341</v>
      </c>
      <c r="AC226" s="424">
        <f t="shared" si="90"/>
        <v>47682.845511373067</v>
      </c>
      <c r="AD226" s="335"/>
      <c r="AE226"/>
      <c r="AF226"/>
      <c r="AG226"/>
      <c r="AH226"/>
      <c r="AI226"/>
      <c r="AJ226"/>
      <c r="AK226"/>
      <c r="AL226"/>
      <c r="AM226"/>
      <c r="AN226"/>
      <c r="AO226"/>
      <c r="AP226"/>
      <c r="AQ226"/>
      <c r="AR226"/>
      <c r="AS226"/>
      <c r="AT226"/>
      <c r="AU226"/>
      <c r="AV226"/>
      <c r="AW226"/>
      <c r="AX226"/>
      <c r="AY226"/>
      <c r="AZ226"/>
      <c r="BA226"/>
    </row>
    <row r="227" spans="1:53" s="76" customFormat="1" ht="15.75">
      <c r="A227" s="25"/>
      <c r="B227" s="25"/>
      <c r="C227" s="403" t="s">
        <v>578</v>
      </c>
      <c r="D227" s="416">
        <f t="shared" si="89"/>
        <v>3357.501492112357</v>
      </c>
      <c r="E227" s="25"/>
      <c r="F227" s="422">
        <f t="shared" ref="F227:AC227" si="91">F206*F$188</f>
        <v>0</v>
      </c>
      <c r="G227" s="422">
        <f t="shared" si="91"/>
        <v>86467.140759281479</v>
      </c>
      <c r="H227" s="422">
        <f t="shared" si="91"/>
        <v>170570.77106416898</v>
      </c>
      <c r="I227" s="422">
        <f t="shared" si="91"/>
        <v>168198.23439874168</v>
      </c>
      <c r="J227" s="422">
        <f t="shared" si="91"/>
        <v>165819.20237273921</v>
      </c>
      <c r="K227" s="422">
        <f t="shared" si="91"/>
        <v>163436.06606569982</v>
      </c>
      <c r="L227" s="422">
        <f t="shared" si="91"/>
        <v>161051.08278122588</v>
      </c>
      <c r="M227" s="422">
        <f t="shared" si="91"/>
        <v>158666.38181131627</v>
      </c>
      <c r="N227" s="422">
        <f t="shared" si="91"/>
        <v>156824.48548517769</v>
      </c>
      <c r="O227" s="422">
        <f t="shared" si="91"/>
        <v>154955.28163648761</v>
      </c>
      <c r="P227" s="422">
        <f t="shared" si="91"/>
        <v>153061.92354226302</v>
      </c>
      <c r="Q227" s="422">
        <f t="shared" si="91"/>
        <v>151147.40395944405</v>
      </c>
      <c r="R227" s="422">
        <f t="shared" si="91"/>
        <v>149214.56180053894</v>
      </c>
      <c r="S227" s="422">
        <f t="shared" si="91"/>
        <v>147266.08855657093</v>
      </c>
      <c r="T227" s="422">
        <f t="shared" si="91"/>
        <v>145304.53447638534</v>
      </c>
      <c r="U227" s="422">
        <f t="shared" si="91"/>
        <v>143332.31451105935</v>
      </c>
      <c r="V227" s="422">
        <f t="shared" si="91"/>
        <v>141351.71403185686</v>
      </c>
      <c r="W227" s="422">
        <f t="shared" si="91"/>
        <v>139364.89432987629</v>
      </c>
      <c r="X227" s="422">
        <f t="shared" si="91"/>
        <v>137747.06209905387</v>
      </c>
      <c r="Y227" s="422">
        <f t="shared" si="91"/>
        <v>136105.24422110914</v>
      </c>
      <c r="Z227" s="422">
        <f t="shared" si="91"/>
        <v>134442.21038404273</v>
      </c>
      <c r="AA227" s="422">
        <f t="shared" si="91"/>
        <v>132760.58928270231</v>
      </c>
      <c r="AB227" s="422">
        <f t="shared" si="91"/>
        <v>131062.87448234898</v>
      </c>
      <c r="AC227" s="422">
        <f t="shared" si="91"/>
        <v>129351.4300602664</v>
      </c>
      <c r="AD227" s="335"/>
      <c r="AE227"/>
      <c r="AF227"/>
      <c r="AG227"/>
      <c r="AH227"/>
      <c r="AI227"/>
      <c r="AJ227"/>
      <c r="AK227"/>
      <c r="AL227"/>
      <c r="AM227"/>
      <c r="AN227"/>
      <c r="AO227"/>
      <c r="AP227"/>
      <c r="AQ227"/>
      <c r="AR227"/>
      <c r="AS227"/>
      <c r="AT227"/>
      <c r="AU227"/>
      <c r="AV227"/>
      <c r="AW227"/>
      <c r="AX227"/>
      <c r="AY227"/>
      <c r="AZ227"/>
      <c r="BA227"/>
    </row>
    <row r="228" spans="1:53" s="76" customFormat="1" ht="15.75">
      <c r="A228" s="25"/>
      <c r="B228" s="25"/>
      <c r="C228" s="403" t="s">
        <v>199</v>
      </c>
      <c r="D228" s="416">
        <f t="shared" si="89"/>
        <v>1779.0724660818646</v>
      </c>
      <c r="E228" s="25"/>
      <c r="F228" s="422">
        <f t="shared" ref="F228:AC228" si="92">F207*F$188</f>
        <v>0</v>
      </c>
      <c r="G228" s="422">
        <f t="shared" si="92"/>
        <v>44289.142983781472</v>
      </c>
      <c r="H228" s="422">
        <f t="shared" si="92"/>
        <v>87636.31068818619</v>
      </c>
      <c r="I228" s="422">
        <f t="shared" si="92"/>
        <v>86684.067132092532</v>
      </c>
      <c r="J228" s="422">
        <f t="shared" si="92"/>
        <v>85722.762082360437</v>
      </c>
      <c r="K228" s="422">
        <f t="shared" si="92"/>
        <v>84753.544705832741</v>
      </c>
      <c r="L228" s="422">
        <f t="shared" si="92"/>
        <v>83777.508799315896</v>
      </c>
      <c r="M228" s="422">
        <f t="shared" si="92"/>
        <v>82795.694955752348</v>
      </c>
      <c r="N228" s="422">
        <f t="shared" si="92"/>
        <v>82092.033271879671</v>
      </c>
      <c r="O228" s="422">
        <f t="shared" si="92"/>
        <v>81369.77686008584</v>
      </c>
      <c r="P228" s="422">
        <f t="shared" si="92"/>
        <v>80630.40526604194</v>
      </c>
      <c r="Q228" s="422">
        <f t="shared" si="92"/>
        <v>79875.331781363318</v>
      </c>
      <c r="R228" s="422">
        <f t="shared" si="92"/>
        <v>79105.90595793644</v>
      </c>
      <c r="S228" s="422">
        <f t="shared" si="92"/>
        <v>78323.416034003574</v>
      </c>
      <c r="T228" s="422">
        <f t="shared" si="92"/>
        <v>77529.091274966951</v>
      </c>
      <c r="U228" s="422">
        <f t="shared" si="92"/>
        <v>76724.104231775957</v>
      </c>
      <c r="V228" s="422">
        <f t="shared" si="92"/>
        <v>75909.572919669125</v>
      </c>
      <c r="W228" s="422">
        <f t="shared" si="92"/>
        <v>75086.562919951131</v>
      </c>
      <c r="X228" s="422">
        <f t="shared" si="92"/>
        <v>74457.799587866219</v>
      </c>
      <c r="Y228" s="422">
        <f t="shared" si="92"/>
        <v>73812.076349896553</v>
      </c>
      <c r="Z228" s="422">
        <f t="shared" si="92"/>
        <v>73150.728004044126</v>
      </c>
      <c r="AA228" s="422">
        <f t="shared" si="92"/>
        <v>72475.029812653011</v>
      </c>
      <c r="AB228" s="422">
        <f t="shared" si="92"/>
        <v>71786.199755922251</v>
      </c>
      <c r="AC228" s="422">
        <f t="shared" si="92"/>
        <v>71085.400706486718</v>
      </c>
      <c r="AD228" s="335"/>
      <c r="AE228"/>
      <c r="AF228"/>
      <c r="AG228"/>
      <c r="AH228"/>
      <c r="AI228"/>
      <c r="AJ228"/>
      <c r="AK228"/>
      <c r="AL228"/>
      <c r="AM228"/>
      <c r="AN228"/>
      <c r="AO228"/>
      <c r="AP228"/>
      <c r="AQ228"/>
      <c r="AR228"/>
      <c r="AS228"/>
      <c r="AT228"/>
      <c r="AU228"/>
      <c r="AV228"/>
      <c r="AW228"/>
      <c r="AX228"/>
      <c r="AY228"/>
      <c r="AZ228"/>
      <c r="BA228"/>
    </row>
    <row r="229" spans="1:53" s="76" customFormat="1" ht="15.75">
      <c r="A229" s="25"/>
      <c r="B229" s="25"/>
      <c r="C229" s="403" t="s">
        <v>200</v>
      </c>
      <c r="D229" s="416">
        <f t="shared" si="89"/>
        <v>-6164.5700777516558</v>
      </c>
      <c r="E229" s="25"/>
      <c r="F229" s="422">
        <f t="shared" ref="F229:AC229" si="93">F208*F$188</f>
        <v>0</v>
      </c>
      <c r="G229" s="422">
        <f t="shared" si="93"/>
        <v>-183156.36500302487</v>
      </c>
      <c r="H229" s="422">
        <f t="shared" si="93"/>
        <v>-356836.85591246851</v>
      </c>
      <c r="I229" s="422">
        <f t="shared" si="93"/>
        <v>-347607.59423051262</v>
      </c>
      <c r="J229" s="422">
        <f t="shared" si="93"/>
        <v>-338618.48387838498</v>
      </c>
      <c r="K229" s="422">
        <f t="shared" si="93"/>
        <v>-329863.23428204021</v>
      </c>
      <c r="L229" s="422">
        <f t="shared" si="93"/>
        <v>-321335.72084035468</v>
      </c>
      <c r="M229" s="422">
        <f t="shared" si="93"/>
        <v>-312662.68732383411</v>
      </c>
      <c r="N229" s="422">
        <f t="shared" si="93"/>
        <v>-304014.7340839401</v>
      </c>
      <c r="O229" s="422">
        <f t="shared" si="93"/>
        <v>-295606.98812127626</v>
      </c>
      <c r="P229" s="422">
        <f t="shared" si="93"/>
        <v>-287432.74869384221</v>
      </c>
      <c r="Q229" s="422">
        <f t="shared" si="93"/>
        <v>-279485.50278979883</v>
      </c>
      <c r="R229" s="422">
        <f t="shared" si="93"/>
        <v>-271758.91984530393</v>
      </c>
      <c r="S229" s="422">
        <f t="shared" si="93"/>
        <v>-264246.84661160439</v>
      </c>
      <c r="T229" s="422">
        <f t="shared" si="93"/>
        <v>-256943.30216714871</v>
      </c>
      <c r="U229" s="422">
        <f t="shared" si="93"/>
        <v>-249842.47307060545</v>
      </c>
      <c r="V229" s="422">
        <f t="shared" si="93"/>
        <v>-242938.70865079141</v>
      </c>
      <c r="W229" s="422">
        <f t="shared" si="93"/>
        <v>-236166.16333299855</v>
      </c>
      <c r="X229" s="422">
        <f t="shared" si="93"/>
        <v>-229678.29022783641</v>
      </c>
      <c r="Y229" s="422">
        <f t="shared" si="93"/>
        <v>-223312.40531506247</v>
      </c>
      <c r="Z229" s="422">
        <f t="shared" si="93"/>
        <v>-217123.76093371262</v>
      </c>
      <c r="AA229" s="422">
        <f t="shared" si="93"/>
        <v>-211107.39966832291</v>
      </c>
      <c r="AB229" s="422">
        <f t="shared" si="93"/>
        <v>-205258.50339902635</v>
      </c>
      <c r="AC229" s="422">
        <f t="shared" si="93"/>
        <v>-199572.38936976486</v>
      </c>
      <c r="AD229" s="335"/>
      <c r="AE229"/>
      <c r="AF229"/>
      <c r="AG229"/>
      <c r="AH229"/>
      <c r="AI229"/>
      <c r="AJ229"/>
      <c r="AK229"/>
      <c r="AL229"/>
      <c r="AM229"/>
      <c r="AN229"/>
      <c r="AO229"/>
      <c r="AP229"/>
      <c r="AQ229"/>
      <c r="AR229"/>
      <c r="AS229"/>
      <c r="AT229"/>
      <c r="AU229"/>
      <c r="AV229"/>
      <c r="AW229"/>
      <c r="AX229"/>
      <c r="AY229"/>
      <c r="AZ229"/>
      <c r="BA229"/>
    </row>
    <row r="230" spans="1:53" ht="15.75">
      <c r="C230" s="403" t="s">
        <v>201</v>
      </c>
      <c r="D230" s="416">
        <f t="shared" si="89"/>
        <v>972.78769821860431</v>
      </c>
      <c r="F230" s="422">
        <f t="shared" ref="F230:AC230" si="94">F209*F$188</f>
        <v>0</v>
      </c>
      <c r="G230" s="422">
        <f t="shared" si="94"/>
        <v>35553.206957619572</v>
      </c>
      <c r="H230" s="422">
        <f t="shared" si="94"/>
        <v>67012.612755992028</v>
      </c>
      <c r="I230" s="422">
        <f t="shared" si="94"/>
        <v>63040.614821981835</v>
      </c>
      <c r="J230" s="422">
        <f t="shared" si="94"/>
        <v>59259.01516407515</v>
      </c>
      <c r="K230" s="422">
        <f t="shared" si="94"/>
        <v>55527.47207716835</v>
      </c>
      <c r="L230" s="422">
        <f t="shared" si="94"/>
        <v>51875.066915107556</v>
      </c>
      <c r="M230" s="422">
        <f t="shared" si="94"/>
        <v>48299.882451068166</v>
      </c>
      <c r="N230" s="422">
        <f t="shared" si="94"/>
        <v>45039.157634176052</v>
      </c>
      <c r="O230" s="422">
        <f t="shared" si="94"/>
        <v>42307.188523302524</v>
      </c>
      <c r="P230" s="422">
        <f t="shared" si="94"/>
        <v>41403.240713686071</v>
      </c>
      <c r="Q230" s="422">
        <f t="shared" si="94"/>
        <v>40495.793869644098</v>
      </c>
      <c r="R230" s="422">
        <f t="shared" si="94"/>
        <v>39598.576170295513</v>
      </c>
      <c r="S230" s="422">
        <f t="shared" si="94"/>
        <v>38700.021828870544</v>
      </c>
      <c r="T230" s="422">
        <f t="shared" si="94"/>
        <v>37813.080651703385</v>
      </c>
      <c r="U230" s="422">
        <f t="shared" si="94"/>
        <v>36926.705172776055</v>
      </c>
      <c r="V230" s="422">
        <f t="shared" si="94"/>
        <v>36053.09172481337</v>
      </c>
      <c r="W230" s="422">
        <f t="shared" si="94"/>
        <v>35181.710010685427</v>
      </c>
      <c r="X230" s="422">
        <f t="shared" si="94"/>
        <v>34412.03027503458</v>
      </c>
      <c r="Y230" s="422">
        <f t="shared" si="94"/>
        <v>33649.528327548491</v>
      </c>
      <c r="Z230" s="422">
        <f t="shared" si="94"/>
        <v>33256.450343915953</v>
      </c>
      <c r="AA230" s="422">
        <f t="shared" si="94"/>
        <v>32863.31577187228</v>
      </c>
      <c r="AB230" s="422">
        <f t="shared" si="94"/>
        <v>32460.750424772596</v>
      </c>
      <c r="AC230" s="422">
        <f t="shared" si="94"/>
        <v>32059.185632494729</v>
      </c>
    </row>
    <row r="231" spans="1:53" ht="15.75">
      <c r="C231" s="403" t="s">
        <v>579</v>
      </c>
      <c r="D231" s="416">
        <f t="shared" si="89"/>
        <v>6.9955568782778235</v>
      </c>
      <c r="F231" s="422">
        <f t="shared" ref="F231:AC231" si="95">F210*F$188</f>
        <v>0</v>
      </c>
      <c r="G231" s="422">
        <f t="shared" si="95"/>
        <v>180.15950334039823</v>
      </c>
      <c r="H231" s="422">
        <f t="shared" si="95"/>
        <v>355.39449008565578</v>
      </c>
      <c r="I231" s="422">
        <f t="shared" si="95"/>
        <v>350.45116683537952</v>
      </c>
      <c r="J231" s="422">
        <f t="shared" si="95"/>
        <v>345.49431010955442</v>
      </c>
      <c r="K231" s="422">
        <f t="shared" si="95"/>
        <v>340.52890186662484</v>
      </c>
      <c r="L231" s="422">
        <f t="shared" si="95"/>
        <v>335.55964533480352</v>
      </c>
      <c r="M231" s="422">
        <f t="shared" si="95"/>
        <v>330.5909770224057</v>
      </c>
      <c r="N231" s="422">
        <f t="shared" si="95"/>
        <v>326.75327492646807</v>
      </c>
      <c r="O231" s="422">
        <f t="shared" si="95"/>
        <v>322.85867596014549</v>
      </c>
      <c r="P231" s="422">
        <f t="shared" si="95"/>
        <v>318.91375016630388</v>
      </c>
      <c r="Q231" s="422">
        <f t="shared" si="95"/>
        <v>314.92473313454656</v>
      </c>
      <c r="R231" s="422">
        <f t="shared" si="95"/>
        <v>310.8975399103233</v>
      </c>
      <c r="S231" s="422">
        <f t="shared" si="95"/>
        <v>306.83777837752808</v>
      </c>
      <c r="T231" s="422">
        <f t="shared" si="95"/>
        <v>302.75076213345693</v>
      </c>
      <c r="U231" s="422">
        <f t="shared" si="95"/>
        <v>298.64152287434558</v>
      </c>
      <c r="V231" s="422">
        <f t="shared" si="95"/>
        <v>294.51482230907243</v>
      </c>
      <c r="W231" s="422">
        <f t="shared" si="95"/>
        <v>290.37516361800704</v>
      </c>
      <c r="X231" s="422">
        <f t="shared" si="95"/>
        <v>287.00431257987123</v>
      </c>
      <c r="Y231" s="422">
        <f t="shared" si="95"/>
        <v>283.58348599917775</v>
      </c>
      <c r="Z231" s="422">
        <f t="shared" si="95"/>
        <v>280.1184546879395</v>
      </c>
      <c r="AA231" s="422">
        <f t="shared" si="95"/>
        <v>276.61469569043032</v>
      </c>
      <c r="AB231" s="422">
        <f t="shared" si="95"/>
        <v>273.07740450028001</v>
      </c>
      <c r="AC231" s="422">
        <f t="shared" si="95"/>
        <v>269.51150681510649</v>
      </c>
    </row>
    <row r="232" spans="1:53" ht="15.75">
      <c r="C232" s="403" t="s">
        <v>202</v>
      </c>
      <c r="D232" s="416">
        <f t="shared" si="89"/>
        <v>21133.829231728985</v>
      </c>
      <c r="F232" s="422">
        <f t="shared" ref="F232:AC232" si="96">F211*F$188</f>
        <v>0</v>
      </c>
      <c r="G232" s="422">
        <f t="shared" si="96"/>
        <v>544268.34694058122</v>
      </c>
      <c r="H232" s="422">
        <f t="shared" si="96"/>
        <v>1073659.5519207155</v>
      </c>
      <c r="I232" s="422">
        <f t="shared" si="96"/>
        <v>1058725.5943778967</v>
      </c>
      <c r="J232" s="422">
        <f t="shared" si="96"/>
        <v>1043750.7517181189</v>
      </c>
      <c r="K232" s="422">
        <f t="shared" si="96"/>
        <v>1028750.0746172384</v>
      </c>
      <c r="L232" s="422">
        <f t="shared" si="96"/>
        <v>1013737.7716970426</v>
      </c>
      <c r="M232" s="422">
        <f t="shared" si="96"/>
        <v>998727.24580890639</v>
      </c>
      <c r="N232" s="422">
        <f t="shared" si="96"/>
        <v>987133.40958556894</v>
      </c>
      <c r="O232" s="422">
        <f t="shared" si="96"/>
        <v>975367.68586800399</v>
      </c>
      <c r="P232" s="422">
        <f t="shared" si="96"/>
        <v>963449.92299228872</v>
      </c>
      <c r="Q232" s="422">
        <f t="shared" si="96"/>
        <v>951398.95889915247</v>
      </c>
      <c r="R232" s="422">
        <f t="shared" si="96"/>
        <v>939232.66315389355</v>
      </c>
      <c r="S232" s="422">
        <f t="shared" si="96"/>
        <v>926967.9773756885</v>
      </c>
      <c r="T232" s="422">
        <f t="shared" si="96"/>
        <v>914620.9541333064</v>
      </c>
      <c r="U232" s="422">
        <f t="shared" si="96"/>
        <v>902206.79436226143</v>
      </c>
      <c r="V232" s="422">
        <f t="shared" si="96"/>
        <v>889739.8833565386</v>
      </c>
      <c r="W232" s="422">
        <f t="shared" si="96"/>
        <v>877233.82538618916</v>
      </c>
      <c r="X232" s="422">
        <f t="shared" si="96"/>
        <v>867050.3630192735</v>
      </c>
      <c r="Y232" s="422">
        <f t="shared" si="96"/>
        <v>856715.92273872613</v>
      </c>
      <c r="Z232" s="422">
        <f t="shared" si="96"/>
        <v>846247.93837543833</v>
      </c>
      <c r="AA232" s="422">
        <f t="shared" si="96"/>
        <v>835662.95627738396</v>
      </c>
      <c r="AB232" s="422">
        <f t="shared" si="96"/>
        <v>824976.67221790226</v>
      </c>
      <c r="AC232" s="422">
        <f t="shared" si="96"/>
        <v>814203.96690686664</v>
      </c>
    </row>
    <row r="233" spans="1:53" ht="15.75">
      <c r="C233" s="402"/>
      <c r="D233" s="417"/>
      <c r="F233" s="413">
        <f>SUM(F226:F232)</f>
        <v>0</v>
      </c>
      <c r="G233" s="413">
        <f t="shared" ref="G233:AC233" si="97">SUM(G226:G232)</f>
        <v>537705.04621854622</v>
      </c>
      <c r="H233" s="413">
        <f t="shared" si="97"/>
        <v>1096713.4205759319</v>
      </c>
      <c r="I233" s="413">
        <f t="shared" si="97"/>
        <v>1083325.7992335637</v>
      </c>
      <c r="J233" s="413">
        <f t="shared" si="97"/>
        <v>1069821.8681118996</v>
      </c>
      <c r="K233" s="413">
        <f t="shared" si="97"/>
        <v>1056086.8220652356</v>
      </c>
      <c r="L233" s="413">
        <f t="shared" si="97"/>
        <v>1042174.0577066939</v>
      </c>
      <c r="M233" s="413">
        <f t="shared" si="97"/>
        <v>1028472.0943153873</v>
      </c>
      <c r="N233" s="413">
        <f t="shared" si="97"/>
        <v>1019470.1090353586</v>
      </c>
      <c r="O233" s="413">
        <f t="shared" si="97"/>
        <v>1010523.7244037348</v>
      </c>
      <c r="P233" s="413">
        <f t="shared" si="97"/>
        <v>1002964.201360903</v>
      </c>
      <c r="Q233" s="413">
        <f t="shared" si="97"/>
        <v>994990.56132627965</v>
      </c>
      <c r="R233" s="413">
        <f t="shared" si="97"/>
        <v>986645.67799102864</v>
      </c>
      <c r="S233" s="413">
        <f t="shared" si="97"/>
        <v>977945.79008092964</v>
      </c>
      <c r="T233" s="413">
        <f t="shared" si="97"/>
        <v>968930.36412929208</v>
      </c>
      <c r="U233" s="413">
        <f t="shared" si="97"/>
        <v>959613.63286705106</v>
      </c>
      <c r="V233" s="413">
        <f t="shared" si="97"/>
        <v>950031.88565990189</v>
      </c>
      <c r="W233" s="413">
        <f t="shared" si="97"/>
        <v>940257.89871936094</v>
      </c>
      <c r="X233" s="413">
        <f t="shared" si="97"/>
        <v>933311.58806240163</v>
      </c>
      <c r="Y233" s="413">
        <f t="shared" si="97"/>
        <v>926044.34932320577</v>
      </c>
      <c r="Z233" s="413">
        <f t="shared" si="97"/>
        <v>918785.47859217459</v>
      </c>
      <c r="AA233" s="413">
        <f t="shared" si="97"/>
        <v>911191.63989205274</v>
      </c>
      <c r="AB233" s="413">
        <f t="shared" si="97"/>
        <v>903278.39506092342</v>
      </c>
      <c r="AC233" s="413">
        <f t="shared" si="97"/>
        <v>895079.95095453784</v>
      </c>
    </row>
    <row r="234" spans="1:53" ht="15.75">
      <c r="C234" s="401" t="s">
        <v>182</v>
      </c>
      <c r="D234" s="418">
        <f>NPV(0.03,F214:AC214)/1000</f>
        <v>14810.119636348983</v>
      </c>
    </row>
    <row r="235" spans="1:53" ht="15.75">
      <c r="C235" s="401" t="s">
        <v>183</v>
      </c>
      <c r="D235" s="419">
        <f>IRR(F235:AC235)</f>
        <v>0.21814943364853159</v>
      </c>
      <c r="F235" s="406">
        <f>F224+F233</f>
        <v>-1567465.0162857347</v>
      </c>
      <c r="G235" s="406">
        <f t="shared" ref="G235:AC235" si="98">G224+G233</f>
        <v>-2111294.8262224109</v>
      </c>
      <c r="H235" s="406">
        <f t="shared" si="98"/>
        <v>930536.17065064108</v>
      </c>
      <c r="I235" s="406">
        <f t="shared" si="98"/>
        <v>919459.97474152781</v>
      </c>
      <c r="J235" s="406">
        <f t="shared" si="98"/>
        <v>908273.79710774915</v>
      </c>
      <c r="K235" s="406">
        <f t="shared" si="98"/>
        <v>896860.50311291788</v>
      </c>
      <c r="L235" s="406">
        <f t="shared" si="98"/>
        <v>885271.29020964017</v>
      </c>
      <c r="M235" s="406">
        <f t="shared" si="98"/>
        <v>873892.60323082446</v>
      </c>
      <c r="N235" s="406">
        <f t="shared" si="98"/>
        <v>866685.07115174935</v>
      </c>
      <c r="O235" s="406">
        <f t="shared" si="98"/>
        <v>859559.74386299355</v>
      </c>
      <c r="P235" s="406">
        <f t="shared" si="98"/>
        <v>853844.81024928309</v>
      </c>
      <c r="Q235" s="406">
        <f t="shared" si="98"/>
        <v>847736.37605981168</v>
      </c>
      <c r="R235" s="406">
        <f t="shared" si="98"/>
        <v>841274.54919726483</v>
      </c>
      <c r="S235" s="406">
        <f t="shared" si="98"/>
        <v>834472.94622318097</v>
      </c>
      <c r="T235" s="406">
        <f t="shared" si="98"/>
        <v>827368.54911072459</v>
      </c>
      <c r="U235" s="406">
        <f t="shared" si="98"/>
        <v>819973.23784348555</v>
      </c>
      <c r="V235" s="406">
        <f t="shared" si="98"/>
        <v>812321.07528194238</v>
      </c>
      <c r="W235" s="406">
        <f t="shared" si="98"/>
        <v>804482.7320165321</v>
      </c>
      <c r="X235" s="406">
        <f t="shared" si="98"/>
        <v>799112.58185460523</v>
      </c>
      <c r="Y235" s="406">
        <f t="shared" si="98"/>
        <v>793444.87144100037</v>
      </c>
      <c r="Z235" s="406">
        <f t="shared" si="98"/>
        <v>787806.19851907936</v>
      </c>
      <c r="AA235" s="406">
        <f t="shared" si="98"/>
        <v>781850.66612603259</v>
      </c>
      <c r="AB235" s="406">
        <f t="shared" si="98"/>
        <v>775591.40676334</v>
      </c>
      <c r="AC235" s="406">
        <f t="shared" si="98"/>
        <v>769060.32410280651</v>
      </c>
    </row>
    <row r="236" spans="1:53" ht="15.75">
      <c r="C236" s="401" t="s">
        <v>184</v>
      </c>
      <c r="D236" s="420">
        <f>SUM(D226:D232)/SUM(D220:D223)</f>
        <v>3.0004903522457784</v>
      </c>
    </row>
    <row r="239" spans="1:53" ht="14.25">
      <c r="C239" s="412" t="s">
        <v>597</v>
      </c>
      <c r="D239" s="39"/>
      <c r="E239" s="39"/>
    </row>
    <row r="240" spans="1:53" ht="15.75">
      <c r="C240" s="401" t="s">
        <v>1</v>
      </c>
      <c r="D240" s="418">
        <f>SUM(D241:D244)</f>
        <v>5964.0959353712933</v>
      </c>
      <c r="E240" s="39"/>
      <c r="F240" s="39"/>
    </row>
    <row r="241" spans="3:29" ht="15.75">
      <c r="C241" s="403" t="s">
        <v>196</v>
      </c>
      <c r="D241" s="416">
        <f>-SUM(F241:AC241)/1000</f>
        <v>3603.5217049523972</v>
      </c>
      <c r="E241" s="39"/>
      <c r="F241" s="406">
        <f>F199*F$190</f>
        <v>-1410841.121495327</v>
      </c>
      <c r="G241" s="406">
        <f t="shared" ref="G241:AC241" si="99">G199*G$190</f>
        <v>-2192680.5834570704</v>
      </c>
      <c r="H241" s="406">
        <f t="shared" si="99"/>
        <v>0</v>
      </c>
      <c r="I241" s="406">
        <f t="shared" si="99"/>
        <v>0</v>
      </c>
      <c r="J241" s="406">
        <f t="shared" si="99"/>
        <v>0</v>
      </c>
      <c r="K241" s="406">
        <f t="shared" si="99"/>
        <v>0</v>
      </c>
      <c r="L241" s="406">
        <f t="shared" si="99"/>
        <v>0</v>
      </c>
      <c r="M241" s="406">
        <f t="shared" si="99"/>
        <v>0</v>
      </c>
      <c r="N241" s="406">
        <f t="shared" si="99"/>
        <v>0</v>
      </c>
      <c r="O241" s="406">
        <f t="shared" si="99"/>
        <v>0</v>
      </c>
      <c r="P241" s="406">
        <f t="shared" si="99"/>
        <v>0</v>
      </c>
      <c r="Q241" s="406">
        <f t="shared" si="99"/>
        <v>0</v>
      </c>
      <c r="R241" s="406">
        <f t="shared" si="99"/>
        <v>0</v>
      </c>
      <c r="S241" s="406">
        <f t="shared" si="99"/>
        <v>0</v>
      </c>
      <c r="T241" s="406">
        <f t="shared" si="99"/>
        <v>0</v>
      </c>
      <c r="U241" s="406">
        <f t="shared" si="99"/>
        <v>0</v>
      </c>
      <c r="V241" s="406">
        <f t="shared" si="99"/>
        <v>0</v>
      </c>
      <c r="W241" s="406">
        <f t="shared" si="99"/>
        <v>0</v>
      </c>
      <c r="X241" s="406">
        <f t="shared" si="99"/>
        <v>0</v>
      </c>
      <c r="Y241" s="406">
        <f t="shared" si="99"/>
        <v>0</v>
      </c>
      <c r="Z241" s="406">
        <f t="shared" si="99"/>
        <v>0</v>
      </c>
      <c r="AA241" s="406">
        <f t="shared" si="99"/>
        <v>0</v>
      </c>
      <c r="AB241" s="406">
        <f t="shared" si="99"/>
        <v>0</v>
      </c>
      <c r="AC241" s="406">
        <f t="shared" si="99"/>
        <v>0</v>
      </c>
    </row>
    <row r="242" spans="3:29" ht="15.75">
      <c r="C242" s="403" t="s">
        <v>197</v>
      </c>
      <c r="D242" s="416">
        <f>-SUM(F242:AC242)/1000</f>
        <v>0</v>
      </c>
      <c r="F242" s="406">
        <f t="shared" ref="F242:AC242" si="100">F200*F$190</f>
        <v>0</v>
      </c>
      <c r="G242" s="406">
        <f t="shared" si="100"/>
        <v>0</v>
      </c>
      <c r="H242" s="406">
        <f t="shared" si="100"/>
        <v>0</v>
      </c>
      <c r="I242" s="406">
        <f t="shared" si="100"/>
        <v>0</v>
      </c>
      <c r="J242" s="406">
        <f t="shared" si="100"/>
        <v>0</v>
      </c>
      <c r="K242" s="406">
        <f t="shared" si="100"/>
        <v>0</v>
      </c>
      <c r="L242" s="406">
        <f t="shared" si="100"/>
        <v>0</v>
      </c>
      <c r="M242" s="406">
        <f t="shared" si="100"/>
        <v>0</v>
      </c>
      <c r="N242" s="406">
        <f t="shared" si="100"/>
        <v>0</v>
      </c>
      <c r="O242" s="406">
        <f t="shared" si="100"/>
        <v>0</v>
      </c>
      <c r="P242" s="406">
        <f t="shared" si="100"/>
        <v>0</v>
      </c>
      <c r="Q242" s="406">
        <f t="shared" si="100"/>
        <v>0</v>
      </c>
      <c r="R242" s="406">
        <f t="shared" si="100"/>
        <v>0</v>
      </c>
      <c r="S242" s="406">
        <f t="shared" si="100"/>
        <v>0</v>
      </c>
      <c r="T242" s="406">
        <f t="shared" si="100"/>
        <v>0</v>
      </c>
      <c r="U242" s="406">
        <f t="shared" si="100"/>
        <v>0</v>
      </c>
      <c r="V242" s="406">
        <f t="shared" si="100"/>
        <v>0</v>
      </c>
      <c r="W242" s="406">
        <f t="shared" si="100"/>
        <v>0</v>
      </c>
      <c r="X242" s="406">
        <f t="shared" si="100"/>
        <v>0</v>
      </c>
      <c r="Y242" s="406">
        <f t="shared" si="100"/>
        <v>0</v>
      </c>
      <c r="Z242" s="406">
        <f t="shared" si="100"/>
        <v>0</v>
      </c>
      <c r="AA242" s="406">
        <f t="shared" si="100"/>
        <v>0</v>
      </c>
      <c r="AB242" s="406">
        <f t="shared" si="100"/>
        <v>0</v>
      </c>
      <c r="AC242" s="406">
        <f t="shared" si="100"/>
        <v>0</v>
      </c>
    </row>
    <row r="243" spans="3:29" ht="15.75">
      <c r="C243" s="404" t="s">
        <v>546</v>
      </c>
      <c r="D243" s="416">
        <f>-SUM(F243:AC243)/1000</f>
        <v>281.9329250623253</v>
      </c>
      <c r="F243" s="406">
        <f t="shared" ref="F243:AC243" si="101">F201*F$190</f>
        <v>-98027.07175168852</v>
      </c>
      <c r="G243" s="406">
        <f t="shared" si="101"/>
        <v>-183905.85331063683</v>
      </c>
      <c r="H243" s="406">
        <f t="shared" si="101"/>
        <v>0</v>
      </c>
      <c r="I243" s="406">
        <f t="shared" si="101"/>
        <v>0</v>
      </c>
      <c r="J243" s="406">
        <f t="shared" si="101"/>
        <v>0</v>
      </c>
      <c r="K243" s="406">
        <f t="shared" si="101"/>
        <v>0</v>
      </c>
      <c r="L243" s="406">
        <f t="shared" si="101"/>
        <v>0</v>
      </c>
      <c r="M243" s="406">
        <f t="shared" si="101"/>
        <v>0</v>
      </c>
      <c r="N243" s="406">
        <f t="shared" si="101"/>
        <v>0</v>
      </c>
      <c r="O243" s="406">
        <f t="shared" si="101"/>
        <v>0</v>
      </c>
      <c r="P243" s="406">
        <f t="shared" si="101"/>
        <v>0</v>
      </c>
      <c r="Q243" s="406">
        <f t="shared" si="101"/>
        <v>0</v>
      </c>
      <c r="R243" s="406">
        <f t="shared" si="101"/>
        <v>0</v>
      </c>
      <c r="S243" s="406">
        <f t="shared" si="101"/>
        <v>0</v>
      </c>
      <c r="T243" s="406">
        <f t="shared" si="101"/>
        <v>0</v>
      </c>
      <c r="U243" s="406">
        <f t="shared" si="101"/>
        <v>0</v>
      </c>
      <c r="V243" s="406">
        <f t="shared" si="101"/>
        <v>0</v>
      </c>
      <c r="W243" s="406">
        <f t="shared" si="101"/>
        <v>0</v>
      </c>
      <c r="X243" s="406">
        <f t="shared" si="101"/>
        <v>0</v>
      </c>
      <c r="Y243" s="406">
        <f t="shared" si="101"/>
        <v>0</v>
      </c>
      <c r="Z243" s="406">
        <f t="shared" si="101"/>
        <v>0</v>
      </c>
      <c r="AA243" s="406">
        <f t="shared" si="101"/>
        <v>0</v>
      </c>
      <c r="AB243" s="406">
        <f t="shared" si="101"/>
        <v>0</v>
      </c>
      <c r="AC243" s="406">
        <f t="shared" si="101"/>
        <v>0</v>
      </c>
    </row>
    <row r="244" spans="3:29" ht="15.75">
      <c r="C244" s="403" t="s">
        <v>198</v>
      </c>
      <c r="D244" s="416">
        <f>-SUM(F244:AC244)/1000</f>
        <v>2078.6413053565702</v>
      </c>
      <c r="F244" s="406">
        <f t="shared" ref="F244:AC244" si="102">F202*F$190</f>
        <v>0</v>
      </c>
      <c r="G244" s="406">
        <f t="shared" si="102"/>
        <v>-78059.35297166837</v>
      </c>
      <c r="H244" s="406">
        <f t="shared" si="102"/>
        <v>-148228.56649041153</v>
      </c>
      <c r="I244" s="406">
        <f t="shared" si="102"/>
        <v>-140702.61712476538</v>
      </c>
      <c r="J244" s="406">
        <f t="shared" si="102"/>
        <v>-133526.97541845267</v>
      </c>
      <c r="K244" s="406">
        <f t="shared" si="102"/>
        <v>-126688.01665710822</v>
      </c>
      <c r="L244" s="406">
        <f t="shared" si="102"/>
        <v>-120172.39953512014</v>
      </c>
      <c r="M244" s="406">
        <f t="shared" si="102"/>
        <v>-113967.0873858405</v>
      </c>
      <c r="N244" s="406">
        <f t="shared" si="102"/>
        <v>-108433.09385060755</v>
      </c>
      <c r="O244" s="406">
        <f t="shared" si="102"/>
        <v>-103135.41222330301</v>
      </c>
      <c r="P244" s="406">
        <f t="shared" si="102"/>
        <v>-98066.807849821736</v>
      </c>
      <c r="Q244" s="406">
        <f t="shared" si="102"/>
        <v>-93219.981286850831</v>
      </c>
      <c r="R244" s="406">
        <f t="shared" si="102"/>
        <v>-88587.607742194959</v>
      </c>
      <c r="S244" s="406">
        <f t="shared" si="102"/>
        <v>-84162.371631973467</v>
      </c>
      <c r="T244" s="406">
        <f t="shared" si="102"/>
        <v>-79936.996724804107</v>
      </c>
      <c r="U244" s="406">
        <f t="shared" si="102"/>
        <v>-75904.272302478246</v>
      </c>
      <c r="V244" s="406">
        <f t="shared" si="102"/>
        <v>-72057.075729320757</v>
      </c>
      <c r="W244" s="406">
        <f t="shared" si="102"/>
        <v>-68388.39178816331</v>
      </c>
      <c r="X244" s="406">
        <f t="shared" si="102"/>
        <v>-65067.600736545246</v>
      </c>
      <c r="Y244" s="406">
        <f t="shared" si="102"/>
        <v>-61888.613667607227</v>
      </c>
      <c r="Z244" s="406">
        <f t="shared" si="102"/>
        <v>-58847.089276036524</v>
      </c>
      <c r="AA244" s="406">
        <f t="shared" si="102"/>
        <v>-55938.64737803382</v>
      </c>
      <c r="AB244" s="406">
        <f t="shared" si="102"/>
        <v>-53158.892578352585</v>
      </c>
      <c r="AC244" s="406">
        <f t="shared" si="102"/>
        <v>-50503.435007110413</v>
      </c>
    </row>
    <row r="245" spans="3:29" ht="15.75">
      <c r="C245" s="402"/>
      <c r="D245" s="417"/>
      <c r="F245" s="414">
        <f>SUM(F241:F244)</f>
        <v>-1508868.1932470156</v>
      </c>
      <c r="G245" s="414">
        <f t="shared" ref="G245:AC245" si="103">SUM(G241:G244)</f>
        <v>-2454645.7897393755</v>
      </c>
      <c r="H245" s="414">
        <f t="shared" si="103"/>
        <v>-148228.56649041153</v>
      </c>
      <c r="I245" s="414">
        <f t="shared" si="103"/>
        <v>-140702.61712476538</v>
      </c>
      <c r="J245" s="414">
        <f t="shared" si="103"/>
        <v>-133526.97541845267</v>
      </c>
      <c r="K245" s="414">
        <f t="shared" si="103"/>
        <v>-126688.01665710822</v>
      </c>
      <c r="L245" s="414">
        <f t="shared" si="103"/>
        <v>-120172.39953512014</v>
      </c>
      <c r="M245" s="414">
        <f t="shared" si="103"/>
        <v>-113967.0873858405</v>
      </c>
      <c r="N245" s="414">
        <f t="shared" si="103"/>
        <v>-108433.09385060755</v>
      </c>
      <c r="O245" s="414">
        <f t="shared" si="103"/>
        <v>-103135.41222330301</v>
      </c>
      <c r="P245" s="414">
        <f t="shared" si="103"/>
        <v>-98066.807849821736</v>
      </c>
      <c r="Q245" s="414">
        <f t="shared" si="103"/>
        <v>-93219.981286850831</v>
      </c>
      <c r="R245" s="414">
        <f t="shared" si="103"/>
        <v>-88587.607742194959</v>
      </c>
      <c r="S245" s="414">
        <f t="shared" si="103"/>
        <v>-84162.371631973467</v>
      </c>
      <c r="T245" s="414">
        <f t="shared" si="103"/>
        <v>-79936.996724804107</v>
      </c>
      <c r="U245" s="414">
        <f t="shared" si="103"/>
        <v>-75904.272302478246</v>
      </c>
      <c r="V245" s="414">
        <f t="shared" si="103"/>
        <v>-72057.075729320757</v>
      </c>
      <c r="W245" s="414">
        <f t="shared" si="103"/>
        <v>-68388.39178816331</v>
      </c>
      <c r="X245" s="414">
        <f t="shared" si="103"/>
        <v>-65067.600736545246</v>
      </c>
      <c r="Y245" s="414">
        <f t="shared" si="103"/>
        <v>-61888.613667607227</v>
      </c>
      <c r="Z245" s="414">
        <f t="shared" si="103"/>
        <v>-58847.089276036524</v>
      </c>
      <c r="AA245" s="414">
        <f t="shared" si="103"/>
        <v>-55938.64737803382</v>
      </c>
      <c r="AB245" s="414">
        <f t="shared" si="103"/>
        <v>-53158.892578352585</v>
      </c>
      <c r="AC245" s="414">
        <f t="shared" si="103"/>
        <v>-50503.435007110413</v>
      </c>
    </row>
    <row r="246" spans="3:29" ht="15.75">
      <c r="C246" s="401" t="s">
        <v>0</v>
      </c>
      <c r="D246" s="418">
        <f>SUM(D247:D253)</f>
        <v>14031.83142143626</v>
      </c>
      <c r="F246" s="406"/>
      <c r="G246" s="406"/>
      <c r="H246" s="406"/>
      <c r="I246" s="406"/>
      <c r="J246" s="406"/>
      <c r="K246" s="406"/>
      <c r="L246" s="406"/>
      <c r="M246" s="406"/>
      <c r="N246" s="406"/>
      <c r="O246" s="406"/>
      <c r="P246" s="406"/>
      <c r="Q246" s="406"/>
      <c r="R246" s="406"/>
      <c r="S246" s="406"/>
      <c r="T246" s="406"/>
      <c r="U246" s="406"/>
      <c r="V246" s="406"/>
      <c r="W246" s="406"/>
      <c r="X246" s="406"/>
      <c r="Y246" s="406"/>
      <c r="Z246" s="406"/>
      <c r="AA246" s="406"/>
      <c r="AB246" s="406"/>
      <c r="AC246" s="406"/>
    </row>
    <row r="247" spans="3:29" ht="15.75">
      <c r="C247" s="403" t="s">
        <v>577</v>
      </c>
      <c r="D247" s="416">
        <f t="shared" ref="D247:D253" si="104">SUM(F247:AC247)/1000</f>
        <v>703.69243067964362</v>
      </c>
      <c r="F247" s="406">
        <f>F205*F$190</f>
        <v>0</v>
      </c>
      <c r="G247" s="406">
        <f t="shared" ref="G247:AC247" si="105">G205*G$190</f>
        <v>9362.1381729882214</v>
      </c>
      <c r="H247" s="406">
        <f t="shared" si="105"/>
        <v>48449.04342842014</v>
      </c>
      <c r="I247" s="406">
        <f t="shared" si="105"/>
        <v>46310.545216314385</v>
      </c>
      <c r="J247" s="406">
        <f t="shared" si="105"/>
        <v>44255.877959875652</v>
      </c>
      <c r="K247" s="406">
        <f t="shared" si="105"/>
        <v>42282.591831903264</v>
      </c>
      <c r="L247" s="406">
        <f t="shared" si="105"/>
        <v>40388.234410592129</v>
      </c>
      <c r="M247" s="406">
        <f t="shared" si="105"/>
        <v>38570.359480671163</v>
      </c>
      <c r="N247" s="406">
        <f t="shared" si="105"/>
        <v>36953.901123360964</v>
      </c>
      <c r="O247" s="406">
        <f t="shared" si="105"/>
        <v>35394.080532479522</v>
      </c>
      <c r="P247" s="406">
        <f t="shared" si="105"/>
        <v>33889.838418888146</v>
      </c>
      <c r="Q247" s="406">
        <f t="shared" si="105"/>
        <v>32440.043499194551</v>
      </c>
      <c r="R247" s="406">
        <f t="shared" si="105"/>
        <v>31043.504648218208</v>
      </c>
      <c r="S247" s="406">
        <f t="shared" si="105"/>
        <v>29698.981872312816</v>
      </c>
      <c r="T247" s="406">
        <f t="shared" si="105"/>
        <v>28405.196199909715</v>
      </c>
      <c r="U247" s="406">
        <f t="shared" si="105"/>
        <v>27160.838578425384</v>
      </c>
      <c r="V247" s="406">
        <f t="shared" si="105"/>
        <v>25964.577859968929</v>
      </c>
      <c r="W247" s="406">
        <f t="shared" si="105"/>
        <v>24815.067952054644</v>
      </c>
      <c r="X247" s="406">
        <f t="shared" si="105"/>
        <v>23775.362939637784</v>
      </c>
      <c r="Y247" s="406">
        <f t="shared" si="105"/>
        <v>22772.112187001057</v>
      </c>
      <c r="Z247" s="406">
        <f t="shared" si="105"/>
        <v>21804.630553150633</v>
      </c>
      <c r="AA247" s="406">
        <f t="shared" si="105"/>
        <v>20872.186898225948</v>
      </c>
      <c r="AB247" s="406">
        <f t="shared" si="105"/>
        <v>19974.011886358305</v>
      </c>
      <c r="AC247" s="406">
        <f t="shared" si="105"/>
        <v>19109.305029692143</v>
      </c>
    </row>
    <row r="248" spans="3:29" ht="15.75">
      <c r="C248" s="403" t="s">
        <v>578</v>
      </c>
      <c r="D248" s="416">
        <f t="shared" si="104"/>
        <v>2133.5980128441188</v>
      </c>
      <c r="F248" s="406">
        <f t="shared" ref="F248:AC248" si="106">F206*F$190</f>
        <v>0</v>
      </c>
      <c r="G248" s="406">
        <f t="shared" si="106"/>
        <v>80123.145804456028</v>
      </c>
      <c r="H248" s="406">
        <f t="shared" si="106"/>
        <v>152147.54661888289</v>
      </c>
      <c r="I248" s="406">
        <f t="shared" si="106"/>
        <v>144422.62045200216</v>
      </c>
      <c r="J248" s="406">
        <f t="shared" si="106"/>
        <v>137057.2636460842</v>
      </c>
      <c r="K248" s="406">
        <f t="shared" si="106"/>
        <v>130037.49126615243</v>
      </c>
      <c r="L248" s="406">
        <f t="shared" si="106"/>
        <v>123349.60927896069</v>
      </c>
      <c r="M248" s="406">
        <f t="shared" si="106"/>
        <v>116980.23634450468</v>
      </c>
      <c r="N248" s="406">
        <f t="shared" si="106"/>
        <v>111299.93085868648</v>
      </c>
      <c r="O248" s="406">
        <f t="shared" si="106"/>
        <v>105862.18507562611</v>
      </c>
      <c r="P248" s="406">
        <f t="shared" si="106"/>
        <v>100659.57306590394</v>
      </c>
      <c r="Q248" s="406">
        <f t="shared" si="106"/>
        <v>95684.602397945957</v>
      </c>
      <c r="R248" s="406">
        <f t="shared" si="106"/>
        <v>90929.754621102649</v>
      </c>
      <c r="S248" s="406">
        <f t="shared" si="106"/>
        <v>86387.520736495484</v>
      </c>
      <c r="T248" s="406">
        <f t="shared" si="106"/>
        <v>82050.432138176009</v>
      </c>
      <c r="U248" s="406">
        <f t="shared" si="106"/>
        <v>77911.087465456498</v>
      </c>
      <c r="V248" s="406">
        <f t="shared" si="106"/>
        <v>73962.175768976274</v>
      </c>
      <c r="W248" s="406">
        <f t="shared" si="106"/>
        <v>70196.496357893891</v>
      </c>
      <c r="X248" s="406">
        <f t="shared" si="106"/>
        <v>66787.907694450842</v>
      </c>
      <c r="Y248" s="406">
        <f t="shared" si="106"/>
        <v>63524.872135759397</v>
      </c>
      <c r="Z248" s="406">
        <f t="shared" si="106"/>
        <v>60402.933597758973</v>
      </c>
      <c r="AA248" s="406">
        <f t="shared" si="106"/>
        <v>57417.596090003324</v>
      </c>
      <c r="AB248" s="406">
        <f t="shared" si="106"/>
        <v>54564.34800842707</v>
      </c>
      <c r="AC248" s="406">
        <f t="shared" si="106"/>
        <v>51838.683420412795</v>
      </c>
    </row>
    <row r="249" spans="3:29" ht="15.75">
      <c r="C249" s="403" t="s">
        <v>199</v>
      </c>
      <c r="D249" s="416">
        <f t="shared" si="104"/>
        <v>1124.8923191441634</v>
      </c>
      <c r="F249" s="406">
        <f t="shared" ref="F249:AC249" si="107">F207*F$190</f>
        <v>0</v>
      </c>
      <c r="G249" s="406">
        <f t="shared" si="107"/>
        <v>41039.699354960045</v>
      </c>
      <c r="H249" s="406">
        <f t="shared" si="107"/>
        <v>78170.776755893152</v>
      </c>
      <c r="I249" s="406">
        <f t="shared" si="107"/>
        <v>74430.86529062716</v>
      </c>
      <c r="J249" s="406">
        <f t="shared" si="107"/>
        <v>70853.839815141677</v>
      </c>
      <c r="K249" s="406">
        <f t="shared" si="107"/>
        <v>67433.942793445516</v>
      </c>
      <c r="L249" s="406">
        <f t="shared" si="107"/>
        <v>64165.498289744857</v>
      </c>
      <c r="M249" s="406">
        <f t="shared" si="107"/>
        <v>61042.924491397484</v>
      </c>
      <c r="N249" s="406">
        <f t="shared" si="107"/>
        <v>58261.550158714002</v>
      </c>
      <c r="O249" s="406">
        <f t="shared" si="107"/>
        <v>55590.117913712049</v>
      </c>
      <c r="P249" s="406">
        <f t="shared" si="107"/>
        <v>53025.742669237836</v>
      </c>
      <c r="Q249" s="406">
        <f t="shared" si="107"/>
        <v>50565.468957405952</v>
      </c>
      <c r="R249" s="406">
        <f t="shared" si="107"/>
        <v>48206.291202667344</v>
      </c>
      <c r="S249" s="406">
        <f t="shared" si="107"/>
        <v>45945.171716783159</v>
      </c>
      <c r="T249" s="406">
        <f t="shared" si="107"/>
        <v>43779.056622799035</v>
      </c>
      <c r="U249" s="406">
        <f t="shared" si="107"/>
        <v>41704.889898010188</v>
      </c>
      <c r="V249" s="406">
        <f t="shared" si="107"/>
        <v>39719.625710142762</v>
      </c>
      <c r="W249" s="406">
        <f t="shared" si="107"/>
        <v>37820.239206446917</v>
      </c>
      <c r="X249" s="406">
        <f t="shared" si="107"/>
        <v>36101.536905595363</v>
      </c>
      <c r="Y249" s="406">
        <f t="shared" si="107"/>
        <v>34450.566097106101</v>
      </c>
      <c r="Z249" s="406">
        <f t="shared" si="107"/>
        <v>32865.560255475022</v>
      </c>
      <c r="AA249" s="406">
        <f t="shared" si="107"/>
        <v>31344.70862834631</v>
      </c>
      <c r="AB249" s="406">
        <f t="shared" si="107"/>
        <v>29886.168765603608</v>
      </c>
      <c r="AC249" s="406">
        <f t="shared" si="107"/>
        <v>28488.077644907982</v>
      </c>
    </row>
    <row r="250" spans="3:29" ht="15.75">
      <c r="C250" s="403" t="s">
        <v>200</v>
      </c>
      <c r="D250" s="416">
        <f t="shared" si="104"/>
        <v>-4006.5856815704501</v>
      </c>
      <c r="F250" s="406">
        <f t="shared" ref="F250:AC250" si="108">F208*F$190</f>
        <v>0</v>
      </c>
      <c r="G250" s="406">
        <f t="shared" si="108"/>
        <v>-169718.39255106042</v>
      </c>
      <c r="H250" s="406">
        <f t="shared" si="108"/>
        <v>-318295.16763955547</v>
      </c>
      <c r="I250" s="406">
        <f t="shared" si="108"/>
        <v>-298471.62086597068</v>
      </c>
      <c r="J250" s="406">
        <f t="shared" si="108"/>
        <v>-279883.88652379008</v>
      </c>
      <c r="K250" s="406">
        <f t="shared" si="108"/>
        <v>-262454.84536890627</v>
      </c>
      <c r="L250" s="406">
        <f t="shared" si="108"/>
        <v>-246112.19576135304</v>
      </c>
      <c r="M250" s="406">
        <f t="shared" si="108"/>
        <v>-230517.35750012219</v>
      </c>
      <c r="N250" s="406">
        <f t="shared" si="108"/>
        <v>-215762.34590460421</v>
      </c>
      <c r="O250" s="406">
        <f t="shared" si="108"/>
        <v>-201952.46883907565</v>
      </c>
      <c r="P250" s="406">
        <f t="shared" si="108"/>
        <v>-189027.14077477643</v>
      </c>
      <c r="Q250" s="406">
        <f t="shared" si="108"/>
        <v>-176929.6627655442</v>
      </c>
      <c r="R250" s="406">
        <f t="shared" si="108"/>
        <v>-165606.97293513169</v>
      </c>
      <c r="S250" s="406">
        <f t="shared" si="108"/>
        <v>-155009.41299493052</v>
      </c>
      <c r="T250" s="406">
        <f t="shared" si="108"/>
        <v>-145090.50976141938</v>
      </c>
      <c r="U250" s="406">
        <f t="shared" si="108"/>
        <v>-135806.77070897343</v>
      </c>
      <c r="V250" s="406">
        <f t="shared" si="108"/>
        <v>-127117.49265571966</v>
      </c>
      <c r="W250" s="406">
        <f t="shared" si="108"/>
        <v>-118954.18357669355</v>
      </c>
      <c r="X250" s="406">
        <f t="shared" si="108"/>
        <v>-111361.59431208219</v>
      </c>
      <c r="Y250" s="406">
        <f t="shared" si="108"/>
        <v>-104227.37253916972</v>
      </c>
      <c r="Z250" s="406">
        <f t="shared" si="108"/>
        <v>-97550.554076068496</v>
      </c>
      <c r="AA250" s="406">
        <f t="shared" si="108"/>
        <v>-91301.789719804874</v>
      </c>
      <c r="AB250" s="406">
        <f t="shared" si="108"/>
        <v>-85453.61495685589</v>
      </c>
      <c r="AC250" s="406">
        <f t="shared" si="108"/>
        <v>-79980.328838842135</v>
      </c>
    </row>
    <row r="251" spans="3:29" ht="15.75">
      <c r="C251" s="403" t="s">
        <v>201</v>
      </c>
      <c r="D251" s="416">
        <f t="shared" si="104"/>
        <v>641.83323439024139</v>
      </c>
      <c r="F251" s="406">
        <f t="shared" ref="F251:AC251" si="109">F209*F$190</f>
        <v>0</v>
      </c>
      <c r="G251" s="406">
        <f t="shared" si="109"/>
        <v>32944.70893644738</v>
      </c>
      <c r="H251" s="406">
        <f t="shared" si="109"/>
        <v>59774.629379553939</v>
      </c>
      <c r="I251" s="406">
        <f t="shared" si="109"/>
        <v>54129.526508062176</v>
      </c>
      <c r="J251" s="406">
        <f t="shared" si="109"/>
        <v>48980.325249020687</v>
      </c>
      <c r="K251" s="406">
        <f t="shared" si="109"/>
        <v>44180.29226403225</v>
      </c>
      <c r="L251" s="406">
        <f t="shared" si="109"/>
        <v>39731.302173178417</v>
      </c>
      <c r="M251" s="406">
        <f t="shared" si="109"/>
        <v>35610.137447117195</v>
      </c>
      <c r="N251" s="406">
        <f t="shared" si="109"/>
        <v>31964.747820524924</v>
      </c>
      <c r="O251" s="406">
        <f t="shared" si="109"/>
        <v>28903.380215138415</v>
      </c>
      <c r="P251" s="406">
        <f t="shared" si="109"/>
        <v>27228.408198030629</v>
      </c>
      <c r="Q251" s="406">
        <f t="shared" si="109"/>
        <v>25636.060122116072</v>
      </c>
      <c r="R251" s="406">
        <f t="shared" si="109"/>
        <v>24130.947885121281</v>
      </c>
      <c r="S251" s="406">
        <f t="shared" si="109"/>
        <v>22701.756874326991</v>
      </c>
      <c r="T251" s="406">
        <f t="shared" si="109"/>
        <v>21352.255930128533</v>
      </c>
      <c r="U251" s="406">
        <f t="shared" si="109"/>
        <v>20072.233999300235</v>
      </c>
      <c r="V251" s="406">
        <f t="shared" si="109"/>
        <v>18864.752546012271</v>
      </c>
      <c r="W251" s="406">
        <f t="shared" si="109"/>
        <v>17720.623192121431</v>
      </c>
      <c r="X251" s="406">
        <f t="shared" si="109"/>
        <v>16684.983814282336</v>
      </c>
      <c r="Y251" s="406">
        <f t="shared" si="109"/>
        <v>15705.360926163381</v>
      </c>
      <c r="Z251" s="406">
        <f t="shared" si="109"/>
        <v>14941.640397628806</v>
      </c>
      <c r="AA251" s="406">
        <f t="shared" si="109"/>
        <v>14213.047722690784</v>
      </c>
      <c r="AB251" s="406">
        <f t="shared" si="109"/>
        <v>13514.122056208425</v>
      </c>
      <c r="AC251" s="406">
        <f t="shared" si="109"/>
        <v>12847.990733035102</v>
      </c>
    </row>
    <row r="252" spans="3:29" ht="15.75">
      <c r="C252" s="403" t="s">
        <v>579</v>
      </c>
      <c r="D252" s="416">
        <f t="shared" si="104"/>
        <v>4.4454801551975285</v>
      </c>
      <c r="F252" s="406">
        <f t="shared" ref="F252:AC252" si="110">F210*F$190</f>
        <v>0</v>
      </c>
      <c r="G252" s="406">
        <f t="shared" si="110"/>
        <v>166.94140719174467</v>
      </c>
      <c r="H252" s="406">
        <f t="shared" si="110"/>
        <v>317.00859069259474</v>
      </c>
      <c r="I252" s="406">
        <f t="shared" si="110"/>
        <v>300.91324106792138</v>
      </c>
      <c r="J252" s="406">
        <f t="shared" si="110"/>
        <v>285.56707589549927</v>
      </c>
      <c r="K252" s="406">
        <f t="shared" si="110"/>
        <v>270.94095671975447</v>
      </c>
      <c r="L252" s="406">
        <f t="shared" si="110"/>
        <v>257.00635119641493</v>
      </c>
      <c r="M252" s="406">
        <f t="shared" si="110"/>
        <v>243.73537849643935</v>
      </c>
      <c r="N252" s="406">
        <f t="shared" si="110"/>
        <v>231.9001193892172</v>
      </c>
      <c r="O252" s="406">
        <f t="shared" si="110"/>
        <v>220.57024805352901</v>
      </c>
      <c r="P252" s="406">
        <f t="shared" si="110"/>
        <v>209.73029211750801</v>
      </c>
      <c r="Q252" s="406">
        <f t="shared" si="110"/>
        <v>199.36464064803749</v>
      </c>
      <c r="R252" s="406">
        <f t="shared" si="110"/>
        <v>189.4576284996875</v>
      </c>
      <c r="S252" s="406">
        <f t="shared" si="110"/>
        <v>179.99361022036317</v>
      </c>
      <c r="T252" s="406">
        <f t="shared" si="110"/>
        <v>170.95702451907559</v>
      </c>
      <c r="U252" s="406">
        <f t="shared" si="110"/>
        <v>162.33245021439305</v>
      </c>
      <c r="V252" s="406">
        <f t="shared" si="110"/>
        <v>154.1046545023369</v>
      </c>
      <c r="W252" s="406">
        <f t="shared" si="110"/>
        <v>146.25863430920424</v>
      </c>
      <c r="X252" s="406">
        <f t="shared" si="110"/>
        <v>139.15663422795728</v>
      </c>
      <c r="Y252" s="406">
        <f t="shared" si="110"/>
        <v>132.35790282000553</v>
      </c>
      <c r="Z252" s="406">
        <f t="shared" si="110"/>
        <v>125.85315556542456</v>
      </c>
      <c r="AA252" s="406">
        <f t="shared" si="110"/>
        <v>119.6330247969281</v>
      </c>
      <c r="AB252" s="406">
        <f t="shared" si="110"/>
        <v>113.68811031531281</v>
      </c>
      <c r="AC252" s="406">
        <f t="shared" si="110"/>
        <v>108.00902373817914</v>
      </c>
    </row>
    <row r="253" spans="3:29" ht="15.75">
      <c r="C253" s="403" t="s">
        <v>202</v>
      </c>
      <c r="D253" s="416">
        <f t="shared" si="104"/>
        <v>13429.955625793345</v>
      </c>
      <c r="F253" s="406">
        <f t="shared" ref="F253:AC253" si="111">F211*F$190</f>
        <v>0</v>
      </c>
      <c r="G253" s="406">
        <f t="shared" si="111"/>
        <v>504336.00250612502</v>
      </c>
      <c r="H253" s="406">
        <f t="shared" si="111"/>
        <v>957694.36761947756</v>
      </c>
      <c r="I253" s="406">
        <f t="shared" si="111"/>
        <v>909069.73682717362</v>
      </c>
      <c r="J253" s="406">
        <f t="shared" si="111"/>
        <v>862708.41924244422</v>
      </c>
      <c r="K253" s="406">
        <f t="shared" si="111"/>
        <v>818522.38654175645</v>
      </c>
      <c r="L253" s="406">
        <f t="shared" si="111"/>
        <v>776425.4414856449</v>
      </c>
      <c r="M253" s="406">
        <f t="shared" si="111"/>
        <v>736333.3550856174</v>
      </c>
      <c r="N253" s="406">
        <f t="shared" si="111"/>
        <v>700578.61114779452</v>
      </c>
      <c r="O253" s="406">
        <f t="shared" si="111"/>
        <v>666350.66186624416</v>
      </c>
      <c r="P253" s="406">
        <f t="shared" si="111"/>
        <v>633602.7646484127</v>
      </c>
      <c r="Q253" s="406">
        <f t="shared" si="111"/>
        <v>602287.75830322225</v>
      </c>
      <c r="R253" s="406">
        <f t="shared" si="111"/>
        <v>572358.31786224386</v>
      </c>
      <c r="S253" s="406">
        <f t="shared" si="111"/>
        <v>543767.17785132281</v>
      </c>
      <c r="T253" s="406">
        <f t="shared" si="111"/>
        <v>516467.32705003669</v>
      </c>
      <c r="U253" s="406">
        <f t="shared" si="111"/>
        <v>490412.17751398019</v>
      </c>
      <c r="V253" s="406">
        <f t="shared" si="111"/>
        <v>465555.7103938167</v>
      </c>
      <c r="W253" s="406">
        <f t="shared" si="111"/>
        <v>441852.60086364538</v>
      </c>
      <c r="X253" s="406">
        <f t="shared" si="111"/>
        <v>420397.20288284164</v>
      </c>
      <c r="Y253" s="406">
        <f t="shared" si="111"/>
        <v>399857.99048444047</v>
      </c>
      <c r="Z253" s="406">
        <f t="shared" si="111"/>
        <v>380206.91479942441</v>
      </c>
      <c r="AA253" s="406">
        <f t="shared" si="111"/>
        <v>361415.67576760217</v>
      </c>
      <c r="AB253" s="406">
        <f t="shared" si="111"/>
        <v>343455.87504868919</v>
      </c>
      <c r="AC253" s="406">
        <f t="shared" si="111"/>
        <v>326299.15000139113</v>
      </c>
    </row>
    <row r="254" spans="3:29" ht="15.75">
      <c r="C254" s="402"/>
      <c r="D254" s="417"/>
      <c r="F254" s="413">
        <f>SUM(F247:F253)</f>
        <v>0</v>
      </c>
      <c r="G254" s="413">
        <f t="shared" ref="G254:AC254" si="112">SUM(G247:G253)</f>
        <v>498254.24363110802</v>
      </c>
      <c r="H254" s="413">
        <f t="shared" si="112"/>
        <v>978258.20475336479</v>
      </c>
      <c r="I254" s="413">
        <f t="shared" si="112"/>
        <v>930192.5866692767</v>
      </c>
      <c r="J254" s="413">
        <f t="shared" si="112"/>
        <v>884257.40646467183</v>
      </c>
      <c r="K254" s="413">
        <f t="shared" si="112"/>
        <v>840272.80028510338</v>
      </c>
      <c r="L254" s="413">
        <f t="shared" si="112"/>
        <v>798204.89622796443</v>
      </c>
      <c r="M254" s="413">
        <f t="shared" si="112"/>
        <v>758263.39072768216</v>
      </c>
      <c r="N254" s="413">
        <f t="shared" si="112"/>
        <v>723528.29532386595</v>
      </c>
      <c r="O254" s="413">
        <f t="shared" si="112"/>
        <v>690368.52701217809</v>
      </c>
      <c r="P254" s="413">
        <f t="shared" si="112"/>
        <v>659588.91651781427</v>
      </c>
      <c r="Q254" s="413">
        <f t="shared" si="112"/>
        <v>629883.63515498862</v>
      </c>
      <c r="R254" s="413">
        <f t="shared" si="112"/>
        <v>601251.30091272132</v>
      </c>
      <c r="S254" s="413">
        <f t="shared" si="112"/>
        <v>573671.18966653105</v>
      </c>
      <c r="T254" s="413">
        <f t="shared" si="112"/>
        <v>547134.71520414972</v>
      </c>
      <c r="U254" s="413">
        <f t="shared" si="112"/>
        <v>521616.78919641348</v>
      </c>
      <c r="V254" s="413">
        <f t="shared" si="112"/>
        <v>497103.45427769964</v>
      </c>
      <c r="W254" s="413">
        <f t="shared" si="112"/>
        <v>473597.10262977792</v>
      </c>
      <c r="X254" s="413">
        <f t="shared" si="112"/>
        <v>452524.55655895371</v>
      </c>
      <c r="Y254" s="413">
        <f t="shared" si="112"/>
        <v>432215.88719412067</v>
      </c>
      <c r="Z254" s="413">
        <f t="shared" si="112"/>
        <v>412796.97868293477</v>
      </c>
      <c r="AA254" s="413">
        <f t="shared" si="112"/>
        <v>394081.05841186061</v>
      </c>
      <c r="AB254" s="413">
        <f t="shared" si="112"/>
        <v>376054.59891874605</v>
      </c>
      <c r="AC254" s="413">
        <f t="shared" si="112"/>
        <v>358710.8870143352</v>
      </c>
    </row>
    <row r="255" spans="3:29" ht="15.75">
      <c r="C255" s="401" t="s">
        <v>182</v>
      </c>
      <c r="D255" s="418">
        <f>NPV(0.07,F214:AC214)/1000</f>
        <v>8067.7354860649675</v>
      </c>
    </row>
    <row r="256" spans="3:29" ht="15.75">
      <c r="C256" s="401" t="s">
        <v>183</v>
      </c>
      <c r="D256" s="419">
        <f>IRR(F256:AC256)</f>
        <v>0.1726111370635397</v>
      </c>
      <c r="F256" s="406">
        <f>F245+F254</f>
        <v>-1508868.1932470156</v>
      </c>
      <c r="G256" s="406">
        <f t="shared" ref="G256:AC256" si="113">G245+G254</f>
        <v>-1956391.5461082675</v>
      </c>
      <c r="H256" s="406">
        <f t="shared" si="113"/>
        <v>830029.63826295326</v>
      </c>
      <c r="I256" s="406">
        <f t="shared" si="113"/>
        <v>789489.96954451129</v>
      </c>
      <c r="J256" s="406">
        <f t="shared" si="113"/>
        <v>750730.43104621919</v>
      </c>
      <c r="K256" s="406">
        <f t="shared" si="113"/>
        <v>713584.78362799517</v>
      </c>
      <c r="L256" s="406">
        <f t="shared" si="113"/>
        <v>678032.49669284432</v>
      </c>
      <c r="M256" s="406">
        <f t="shared" si="113"/>
        <v>644296.30334184167</v>
      </c>
      <c r="N256" s="406">
        <f t="shared" si="113"/>
        <v>615095.20147325844</v>
      </c>
      <c r="O256" s="406">
        <f t="shared" si="113"/>
        <v>587233.1147888751</v>
      </c>
      <c r="P256" s="406">
        <f t="shared" si="113"/>
        <v>561522.10866799252</v>
      </c>
      <c r="Q256" s="406">
        <f t="shared" si="113"/>
        <v>536663.65386813774</v>
      </c>
      <c r="R256" s="406">
        <f t="shared" si="113"/>
        <v>512663.69317052636</v>
      </c>
      <c r="S256" s="406">
        <f t="shared" si="113"/>
        <v>489508.81803455757</v>
      </c>
      <c r="T256" s="406">
        <f t="shared" si="113"/>
        <v>467197.71847934561</v>
      </c>
      <c r="U256" s="406">
        <f t="shared" si="113"/>
        <v>445712.51689393522</v>
      </c>
      <c r="V256" s="406">
        <f t="shared" si="113"/>
        <v>425046.37854837888</v>
      </c>
      <c r="W256" s="406">
        <f t="shared" si="113"/>
        <v>405208.71084161464</v>
      </c>
      <c r="X256" s="406">
        <f t="shared" si="113"/>
        <v>387456.95582240849</v>
      </c>
      <c r="Y256" s="406">
        <f t="shared" si="113"/>
        <v>370327.27352651343</v>
      </c>
      <c r="Z256" s="406">
        <f t="shared" si="113"/>
        <v>353949.88940689823</v>
      </c>
      <c r="AA256" s="406">
        <f t="shared" si="113"/>
        <v>338142.41103382676</v>
      </c>
      <c r="AB256" s="406">
        <f t="shared" si="113"/>
        <v>322895.70634039346</v>
      </c>
      <c r="AC256" s="406">
        <f t="shared" si="113"/>
        <v>308207.45200722478</v>
      </c>
    </row>
    <row r="257" spans="3:4" ht="15.75">
      <c r="C257" s="401" t="s">
        <v>184</v>
      </c>
      <c r="D257" s="420">
        <f>SUM(D247:D253)/SUM(D241:D244)</f>
        <v>2.352717255639301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Z97"/>
  <sheetViews>
    <sheetView zoomScale="75" zoomScaleNormal="75" workbookViewId="0"/>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1.5703125" bestFit="1" customWidth="1"/>
    <col min="9" max="9" width="15.42578125" style="74" customWidth="1"/>
    <col min="10" max="10" width="10.42578125" customWidth="1"/>
    <col min="11" max="12" width="11.5703125" bestFit="1" customWidth="1"/>
    <col min="13" max="26" width="9.85546875" customWidth="1"/>
  </cols>
  <sheetData>
    <row r="1" spans="1:26">
      <c r="G1"/>
      <c r="I1"/>
    </row>
    <row r="2" spans="1:26">
      <c r="A2" s="3" t="s">
        <v>390</v>
      </c>
      <c r="C2" s="75">
        <v>2013</v>
      </c>
      <c r="D2" s="75">
        <v>2014</v>
      </c>
      <c r="E2" s="75">
        <v>2015</v>
      </c>
      <c r="F2" s="75">
        <v>2016</v>
      </c>
      <c r="G2" s="75">
        <v>2017</v>
      </c>
      <c r="H2" s="75">
        <v>2018</v>
      </c>
      <c r="I2" s="75">
        <v>2019</v>
      </c>
      <c r="J2" s="75">
        <v>2020</v>
      </c>
      <c r="K2" s="75">
        <v>2021</v>
      </c>
      <c r="L2" s="75">
        <v>2022</v>
      </c>
      <c r="M2" s="75">
        <v>2023</v>
      </c>
      <c r="N2" s="75">
        <v>2024</v>
      </c>
      <c r="O2" s="75">
        <v>2025</v>
      </c>
      <c r="P2" s="75">
        <v>2026</v>
      </c>
      <c r="Q2" s="75">
        <v>2027</v>
      </c>
      <c r="R2" s="75">
        <v>2028</v>
      </c>
      <c r="S2" s="75">
        <v>2029</v>
      </c>
      <c r="T2" s="75">
        <v>2030</v>
      </c>
      <c r="U2" s="75">
        <v>2031</v>
      </c>
      <c r="V2" s="75">
        <v>2032</v>
      </c>
      <c r="W2" s="75">
        <v>2033</v>
      </c>
      <c r="X2" s="75">
        <v>2034</v>
      </c>
      <c r="Y2" s="75">
        <v>2035</v>
      </c>
      <c r="Z2" s="75">
        <v>2036</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242</v>
      </c>
      <c r="X3" s="72" t="s">
        <v>243</v>
      </c>
      <c r="Y3" s="72" t="s">
        <v>244</v>
      </c>
      <c r="Z3" s="72" t="s">
        <v>245</v>
      </c>
    </row>
    <row r="4" spans="1:26">
      <c r="A4" s="5" t="s">
        <v>351</v>
      </c>
      <c r="B4" s="53"/>
      <c r="G4"/>
      <c r="I4"/>
    </row>
    <row r="5" spans="1:26">
      <c r="A5" s="70" t="s">
        <v>350</v>
      </c>
      <c r="B5" s="70" t="s">
        <v>350</v>
      </c>
      <c r="C5" s="34">
        <v>0</v>
      </c>
      <c r="D5" s="240">
        <f>D81*0.5</f>
        <v>649634.19448483386</v>
      </c>
      <c r="E5" s="34">
        <f t="shared" ref="E5:Z5" si="0">E81</f>
        <v>1319956.4901140218</v>
      </c>
      <c r="F5" s="34">
        <f t="shared" si="0"/>
        <v>1340644.5912583759</v>
      </c>
      <c r="G5" s="34">
        <f t="shared" si="0"/>
        <v>1361332.6924027305</v>
      </c>
      <c r="H5" s="34">
        <f t="shared" si="0"/>
        <v>1382020.7935470843</v>
      </c>
      <c r="I5" s="34">
        <f t="shared" si="0"/>
        <v>1402708.8946914386</v>
      </c>
      <c r="J5" s="34">
        <f t="shared" si="0"/>
        <v>1423396.9958357927</v>
      </c>
      <c r="K5" s="34">
        <f t="shared" si="0"/>
        <v>1449079.5336336992</v>
      </c>
      <c r="L5" s="34">
        <f t="shared" si="0"/>
        <v>1474762.0714316056</v>
      </c>
      <c r="M5" s="34">
        <f t="shared" si="0"/>
        <v>1500444.6092295123</v>
      </c>
      <c r="N5" s="34">
        <f t="shared" si="0"/>
        <v>1526127.1470274187</v>
      </c>
      <c r="O5" s="34">
        <f t="shared" si="0"/>
        <v>1551809.6848253254</v>
      </c>
      <c r="P5" s="34">
        <f t="shared" si="0"/>
        <v>1577492.2226232318</v>
      </c>
      <c r="Q5" s="34">
        <f t="shared" si="0"/>
        <v>1603174.7604211385</v>
      </c>
      <c r="R5" s="34">
        <f t="shared" si="0"/>
        <v>1628857.2982190449</v>
      </c>
      <c r="S5" s="34">
        <f t="shared" si="0"/>
        <v>1654539.8360169514</v>
      </c>
      <c r="T5" s="34">
        <f t="shared" si="0"/>
        <v>1680222.3738148578</v>
      </c>
      <c r="U5" s="34">
        <f t="shared" si="0"/>
        <v>1710538.8532912135</v>
      </c>
      <c r="V5" s="34">
        <f t="shared" si="0"/>
        <v>1740855.3327675697</v>
      </c>
      <c r="W5" s="34">
        <f t="shared" si="0"/>
        <v>1771171.8122439256</v>
      </c>
      <c r="X5" s="34">
        <f t="shared" si="0"/>
        <v>1801488.2917202811</v>
      </c>
      <c r="Y5" s="34">
        <f t="shared" si="0"/>
        <v>1831804.7711966371</v>
      </c>
      <c r="Z5" s="34">
        <f t="shared" si="0"/>
        <v>1862121.2506729935</v>
      </c>
    </row>
    <row r="6" spans="1:26">
      <c r="A6" s="70" t="s">
        <v>408</v>
      </c>
      <c r="B6" s="54" t="s">
        <v>409</v>
      </c>
      <c r="C6">
        <f t="shared" ref="C6:Z6" si="1">C83</f>
        <v>0</v>
      </c>
      <c r="D6" s="240">
        <f>D83*0.5</f>
        <v>6496.3419448483392</v>
      </c>
      <c r="E6" s="34">
        <f t="shared" si="1"/>
        <v>13199.564901140218</v>
      </c>
      <c r="F6" s="34">
        <f t="shared" si="1"/>
        <v>13406.44591258376</v>
      </c>
      <c r="G6" s="34">
        <f t="shared" si="1"/>
        <v>13613.326924027306</v>
      </c>
      <c r="H6" s="34">
        <f t="shared" si="1"/>
        <v>13820.207935470844</v>
      </c>
      <c r="I6" s="34">
        <f t="shared" si="1"/>
        <v>14027.088946914388</v>
      </c>
      <c r="J6" s="34">
        <f t="shared" si="1"/>
        <v>14233.969958357928</v>
      </c>
      <c r="K6" s="34">
        <f t="shared" si="1"/>
        <v>14490.795336336992</v>
      </c>
      <c r="L6" s="34">
        <f t="shared" si="1"/>
        <v>14747.620714316057</v>
      </c>
      <c r="M6" s="34">
        <f t="shared" si="1"/>
        <v>15004.446092295124</v>
      </c>
      <c r="N6" s="34">
        <f t="shared" si="1"/>
        <v>15261.271470274187</v>
      </c>
      <c r="O6" s="34">
        <f t="shared" si="1"/>
        <v>15518.096848253253</v>
      </c>
      <c r="P6" s="34">
        <f t="shared" si="1"/>
        <v>15774.922226232318</v>
      </c>
      <c r="Q6" s="34">
        <f t="shared" si="1"/>
        <v>16031.747604211385</v>
      </c>
      <c r="R6" s="34">
        <f t="shared" si="1"/>
        <v>16288.57298219045</v>
      </c>
      <c r="S6" s="34">
        <f t="shared" si="1"/>
        <v>16545.398360169514</v>
      </c>
      <c r="T6" s="34">
        <f t="shared" si="1"/>
        <v>16802.223738148579</v>
      </c>
      <c r="U6" s="34">
        <f t="shared" si="1"/>
        <v>17105.388532912137</v>
      </c>
      <c r="V6" s="34">
        <f t="shared" si="1"/>
        <v>17408.553327675698</v>
      </c>
      <c r="W6" s="34">
        <f t="shared" si="1"/>
        <v>17711.718122439255</v>
      </c>
      <c r="X6" s="34">
        <f t="shared" si="1"/>
        <v>18014.882917202813</v>
      </c>
      <c r="Y6" s="34">
        <f t="shared" si="1"/>
        <v>18318.04771196637</v>
      </c>
      <c r="Z6" s="34">
        <f t="shared" si="1"/>
        <v>18621.212506729935</v>
      </c>
    </row>
    <row r="7" spans="1:26">
      <c r="A7" s="70"/>
      <c r="B7" s="78" t="s">
        <v>402</v>
      </c>
      <c r="C7">
        <f t="shared" ref="C7:Z7" si="2">C84</f>
        <v>0</v>
      </c>
      <c r="D7" s="240">
        <f>D84*0.5</f>
        <v>12992.683889696678</v>
      </c>
      <c r="E7" s="34">
        <f t="shared" si="2"/>
        <v>26399.129802280437</v>
      </c>
      <c r="F7" s="34">
        <f t="shared" si="2"/>
        <v>26812.89182516752</v>
      </c>
      <c r="G7" s="34">
        <f t="shared" si="2"/>
        <v>27226.653848054611</v>
      </c>
      <c r="H7" s="34">
        <f t="shared" si="2"/>
        <v>27640.415870941688</v>
      </c>
      <c r="I7" s="34">
        <f t="shared" si="2"/>
        <v>28054.177893828775</v>
      </c>
      <c r="J7" s="34">
        <f t="shared" si="2"/>
        <v>28467.939916715855</v>
      </c>
      <c r="K7" s="34">
        <f t="shared" si="2"/>
        <v>28981.590672673985</v>
      </c>
      <c r="L7" s="34">
        <f t="shared" si="2"/>
        <v>29495.241428632115</v>
      </c>
      <c r="M7" s="34">
        <f t="shared" si="2"/>
        <v>30008.892184590248</v>
      </c>
      <c r="N7" s="34">
        <f t="shared" si="2"/>
        <v>30522.542940548374</v>
      </c>
      <c r="O7" s="34">
        <f t="shared" si="2"/>
        <v>31036.193696506507</v>
      </c>
      <c r="P7" s="34">
        <f t="shared" si="2"/>
        <v>31549.844452464637</v>
      </c>
      <c r="Q7" s="34">
        <f t="shared" si="2"/>
        <v>32063.49520842277</v>
      </c>
      <c r="R7" s="34">
        <f t="shared" si="2"/>
        <v>32577.145964380899</v>
      </c>
      <c r="S7" s="34">
        <f t="shared" si="2"/>
        <v>33090.796720339029</v>
      </c>
      <c r="T7" s="34">
        <f t="shared" si="2"/>
        <v>33604.447476297159</v>
      </c>
      <c r="U7" s="34">
        <f t="shared" si="2"/>
        <v>34210.777065824273</v>
      </c>
      <c r="V7" s="34">
        <f t="shared" si="2"/>
        <v>34817.106655351396</v>
      </c>
      <c r="W7" s="34">
        <f t="shared" si="2"/>
        <v>35423.43624487851</v>
      </c>
      <c r="X7" s="34">
        <f t="shared" si="2"/>
        <v>36029.765834405625</v>
      </c>
      <c r="Y7" s="34">
        <f t="shared" si="2"/>
        <v>36636.09542393274</v>
      </c>
      <c r="Z7" s="34">
        <f t="shared" si="2"/>
        <v>37242.42501345987</v>
      </c>
    </row>
    <row r="8" spans="1:26">
      <c r="A8" s="70"/>
      <c r="B8" s="53"/>
      <c r="D8" s="240"/>
      <c r="E8" s="34"/>
      <c r="F8" s="34"/>
      <c r="G8" s="34"/>
      <c r="H8" s="34"/>
      <c r="I8" s="34"/>
      <c r="J8" s="34"/>
      <c r="K8" s="34"/>
      <c r="L8" s="34"/>
      <c r="M8" s="34"/>
      <c r="N8" s="34"/>
      <c r="O8" s="34"/>
      <c r="P8" s="34"/>
      <c r="Q8" s="34"/>
      <c r="R8" s="34"/>
      <c r="S8" s="34"/>
      <c r="T8" s="34"/>
      <c r="U8" s="34"/>
      <c r="V8" s="34"/>
      <c r="W8" s="34"/>
      <c r="X8" s="34"/>
      <c r="Y8" s="34"/>
      <c r="Z8" s="34"/>
    </row>
    <row r="9" spans="1:26">
      <c r="A9" s="5" t="s">
        <v>261</v>
      </c>
      <c r="B9" s="53"/>
      <c r="D9" s="240"/>
      <c r="E9" s="34"/>
      <c r="F9" s="34"/>
      <c r="G9" s="34"/>
      <c r="H9" s="34"/>
      <c r="I9" s="34"/>
      <c r="J9" s="34"/>
      <c r="K9" s="34"/>
      <c r="L9" s="34"/>
      <c r="M9" s="34"/>
      <c r="N9" s="34"/>
      <c r="O9" s="34"/>
      <c r="P9" s="34"/>
      <c r="Q9" s="34"/>
      <c r="R9" s="34"/>
      <c r="S9" s="34"/>
      <c r="T9" s="34"/>
      <c r="U9" s="34"/>
      <c r="V9" s="34"/>
      <c r="W9" s="34"/>
      <c r="X9" s="34"/>
      <c r="Y9" s="34"/>
      <c r="Z9" s="34"/>
    </row>
    <row r="10" spans="1:26">
      <c r="A10" s="70" t="s">
        <v>350</v>
      </c>
      <c r="B10" s="70" t="s">
        <v>350</v>
      </c>
      <c r="C10" s="189">
        <v>0</v>
      </c>
      <c r="D10" s="240">
        <f>D94*0.5</f>
        <v>351256.1724946106</v>
      </c>
      <c r="E10" s="34">
        <f t="shared" ref="E10:Z10" si="3">E94</f>
        <v>713698.36827100057</v>
      </c>
      <c r="F10" s="34">
        <f t="shared" si="3"/>
        <v>724884.39155277971</v>
      </c>
      <c r="G10" s="34">
        <f t="shared" si="3"/>
        <v>736070.41483455896</v>
      </c>
      <c r="H10" s="34">
        <f t="shared" si="3"/>
        <v>747256.43811633799</v>
      </c>
      <c r="I10" s="34">
        <f t="shared" si="3"/>
        <v>758442.46139811736</v>
      </c>
      <c r="J10" s="34">
        <f t="shared" si="3"/>
        <v>769628.4846798965</v>
      </c>
      <c r="K10" s="34">
        <f t="shared" si="3"/>
        <v>783514.99189184315</v>
      </c>
      <c r="L10" s="34">
        <f t="shared" si="3"/>
        <v>797401.4991037898</v>
      </c>
      <c r="M10" s="34">
        <f t="shared" si="3"/>
        <v>811288.00631573657</v>
      </c>
      <c r="N10" s="34">
        <f t="shared" si="3"/>
        <v>825174.51352768322</v>
      </c>
      <c r="O10" s="34">
        <f t="shared" si="3"/>
        <v>839061.02073962986</v>
      </c>
      <c r="P10" s="34">
        <f t="shared" si="3"/>
        <v>852947.52795157651</v>
      </c>
      <c r="Q10" s="34">
        <f t="shared" si="3"/>
        <v>866834.03516352316</v>
      </c>
      <c r="R10" s="34">
        <f t="shared" si="3"/>
        <v>880720.54237546993</v>
      </c>
      <c r="S10" s="34">
        <f t="shared" si="3"/>
        <v>894607.04958741646</v>
      </c>
      <c r="T10" s="34">
        <f t="shared" si="3"/>
        <v>908493.55679936323</v>
      </c>
      <c r="U10" s="34">
        <f t="shared" si="3"/>
        <v>924885.62888359325</v>
      </c>
      <c r="V10" s="34">
        <f t="shared" si="3"/>
        <v>941277.70096782339</v>
      </c>
      <c r="W10" s="34">
        <f t="shared" si="3"/>
        <v>957669.77305205353</v>
      </c>
      <c r="X10" s="34">
        <f t="shared" si="3"/>
        <v>974061.84513628355</v>
      </c>
      <c r="Y10" s="34">
        <f t="shared" si="3"/>
        <v>990453.91722051392</v>
      </c>
      <c r="Z10" s="34">
        <f t="shared" si="3"/>
        <v>1006845.9893047442</v>
      </c>
    </row>
    <row r="11" spans="1:26">
      <c r="A11" s="70" t="s">
        <v>399</v>
      </c>
      <c r="B11" s="54" t="s">
        <v>417</v>
      </c>
      <c r="C11">
        <f>C96</f>
        <v>0</v>
      </c>
      <c r="D11" s="240">
        <f>D96*0.5</f>
        <v>8781.4043123652646</v>
      </c>
      <c r="E11" s="34">
        <f t="shared" ref="E11:Z12" si="4">E96</f>
        <v>17842.459206775016</v>
      </c>
      <c r="F11" s="34">
        <f t="shared" si="4"/>
        <v>18122.109788819493</v>
      </c>
      <c r="G11" s="34">
        <f t="shared" si="4"/>
        <v>18401.760370863976</v>
      </c>
      <c r="H11" s="34">
        <f t="shared" si="4"/>
        <v>18681.410952908449</v>
      </c>
      <c r="I11" s="34">
        <f t="shared" si="4"/>
        <v>18961.061534952936</v>
      </c>
      <c r="J11" s="34">
        <f t="shared" si="4"/>
        <v>19240.712116997413</v>
      </c>
      <c r="K11" s="34">
        <f t="shared" si="4"/>
        <v>19587.874797296081</v>
      </c>
      <c r="L11" s="34">
        <f t="shared" si="4"/>
        <v>19935.037477594746</v>
      </c>
      <c r="M11" s="34">
        <f t="shared" si="4"/>
        <v>20282.200157893414</v>
      </c>
      <c r="N11" s="34">
        <f t="shared" si="4"/>
        <v>20629.362838192083</v>
      </c>
      <c r="O11" s="34">
        <f t="shared" si="4"/>
        <v>20976.525518490747</v>
      </c>
      <c r="P11" s="34">
        <f t="shared" si="4"/>
        <v>21323.688198789416</v>
      </c>
      <c r="Q11" s="34">
        <f t="shared" si="4"/>
        <v>21670.850879088081</v>
      </c>
      <c r="R11" s="34">
        <f t="shared" si="4"/>
        <v>22018.013559386749</v>
      </c>
      <c r="S11" s="34">
        <f t="shared" si="4"/>
        <v>22365.176239685414</v>
      </c>
      <c r="T11" s="34">
        <f t="shared" si="4"/>
        <v>22712.338919984082</v>
      </c>
      <c r="U11" s="34">
        <f t="shared" si="4"/>
        <v>23122.140722089833</v>
      </c>
      <c r="V11" s="34">
        <f t="shared" si="4"/>
        <v>23531.942524195587</v>
      </c>
      <c r="W11" s="34">
        <f t="shared" si="4"/>
        <v>23941.744326301341</v>
      </c>
      <c r="X11" s="34">
        <f t="shared" si="4"/>
        <v>24351.546128407092</v>
      </c>
      <c r="Y11" s="34">
        <f t="shared" si="4"/>
        <v>24761.347930512849</v>
      </c>
      <c r="Z11" s="34">
        <f t="shared" si="4"/>
        <v>25171.149732618607</v>
      </c>
    </row>
    <row r="12" spans="1:26">
      <c r="A12" s="70"/>
      <c r="B12" s="78" t="s">
        <v>411</v>
      </c>
      <c r="C12">
        <f>C97</f>
        <v>0</v>
      </c>
      <c r="D12" s="240">
        <f>D97*0.5</f>
        <v>8781.4043123652646</v>
      </c>
      <c r="E12" s="34">
        <f t="shared" si="4"/>
        <v>17842.459206775016</v>
      </c>
      <c r="F12" s="34">
        <f t="shared" si="4"/>
        <v>18122.109788819493</v>
      </c>
      <c r="G12" s="34">
        <f t="shared" si="4"/>
        <v>18401.760370863976</v>
      </c>
      <c r="H12" s="34">
        <f t="shared" si="4"/>
        <v>18681.410952908449</v>
      </c>
      <c r="I12" s="34">
        <f t="shared" si="4"/>
        <v>18961.061534952936</v>
      </c>
      <c r="J12" s="34">
        <f t="shared" si="4"/>
        <v>19240.712116997413</v>
      </c>
      <c r="K12" s="34">
        <f t="shared" si="4"/>
        <v>19587.874797296081</v>
      </c>
      <c r="L12" s="34">
        <f t="shared" si="4"/>
        <v>19935.037477594746</v>
      </c>
      <c r="M12" s="34">
        <f t="shared" si="4"/>
        <v>20282.200157893414</v>
      </c>
      <c r="N12" s="34">
        <f t="shared" si="4"/>
        <v>20629.362838192083</v>
      </c>
      <c r="O12" s="34">
        <f t="shared" si="4"/>
        <v>20976.525518490747</v>
      </c>
      <c r="P12" s="34">
        <f t="shared" si="4"/>
        <v>21323.688198789416</v>
      </c>
      <c r="Q12" s="34">
        <f t="shared" si="4"/>
        <v>21670.850879088081</v>
      </c>
      <c r="R12" s="34">
        <f t="shared" si="4"/>
        <v>22018.013559386749</v>
      </c>
      <c r="S12" s="34">
        <f t="shared" si="4"/>
        <v>22365.176239685414</v>
      </c>
      <c r="T12" s="34">
        <f t="shared" si="4"/>
        <v>22712.338919984082</v>
      </c>
      <c r="U12" s="34">
        <f t="shared" si="4"/>
        <v>23122.140722089833</v>
      </c>
      <c r="V12" s="34">
        <f t="shared" si="4"/>
        <v>23531.942524195587</v>
      </c>
      <c r="W12" s="34">
        <f t="shared" si="4"/>
        <v>23941.744326301341</v>
      </c>
      <c r="X12" s="34">
        <f t="shared" si="4"/>
        <v>24351.546128407092</v>
      </c>
      <c r="Y12" s="34">
        <f t="shared" si="4"/>
        <v>24761.347930512849</v>
      </c>
      <c r="Z12" s="34">
        <f t="shared" si="4"/>
        <v>25171.149732618607</v>
      </c>
    </row>
    <row r="13" spans="1:26">
      <c r="A13" s="70"/>
      <c r="B13" s="48"/>
      <c r="G13"/>
      <c r="I13"/>
    </row>
    <row r="14" spans="1:26">
      <c r="A14" s="5" t="s">
        <v>353</v>
      </c>
      <c r="B14" s="53"/>
      <c r="G14"/>
      <c r="I14"/>
    </row>
    <row r="15" spans="1:26">
      <c r="A15" s="5"/>
      <c r="B15" s="250" t="s">
        <v>618</v>
      </c>
      <c r="C15" s="34">
        <f t="shared" ref="C15:I15" si="5">$B35*(1+$C$37)^(C2-2007)</f>
        <v>23843.020044972389</v>
      </c>
      <c r="D15" s="34">
        <f t="shared" si="5"/>
        <v>23889.167725290779</v>
      </c>
      <c r="E15" s="34">
        <f t="shared" si="5"/>
        <v>23935.404723505759</v>
      </c>
      <c r="F15" s="34">
        <f t="shared" si="5"/>
        <v>23981.731212490304</v>
      </c>
      <c r="G15" s="34">
        <f t="shared" si="5"/>
        <v>24028.147365451969</v>
      </c>
      <c r="H15" s="34">
        <f t="shared" si="5"/>
        <v>24074.653355933566</v>
      </c>
      <c r="I15" s="34">
        <f t="shared" si="5"/>
        <v>24121.249357813787</v>
      </c>
      <c r="J15" s="397">
        <f>11638+12523</f>
        <v>24161</v>
      </c>
      <c r="K15" s="34">
        <f t="shared" ref="K15:S15" si="6">$C35*(1+$D$37)^(K2-2020)</f>
        <v>24164.699999999997</v>
      </c>
      <c r="L15" s="34">
        <f t="shared" si="6"/>
        <v>24168.400566615615</v>
      </c>
      <c r="M15" s="34">
        <f t="shared" si="6"/>
        <v>24172.101699933624</v>
      </c>
      <c r="N15" s="34">
        <f t="shared" si="6"/>
        <v>24175.803400040812</v>
      </c>
      <c r="O15" s="34">
        <f t="shared" si="6"/>
        <v>24179.505667023968</v>
      </c>
      <c r="P15" s="34">
        <f t="shared" si="6"/>
        <v>24183.208500969911</v>
      </c>
      <c r="Q15" s="34">
        <f t="shared" si="6"/>
        <v>24186.911901965464</v>
      </c>
      <c r="R15" s="34">
        <f t="shared" si="6"/>
        <v>24190.615870097463</v>
      </c>
      <c r="S15" s="34">
        <f t="shared" si="6"/>
        <v>24194.32040545276</v>
      </c>
      <c r="T15" s="397">
        <f>11624+12574</f>
        <v>24198</v>
      </c>
      <c r="U15" s="34">
        <f t="shared" ref="U15:Z15" si="7">$C35*(1+$D$37)^(U2-2020)</f>
        <v>24201.731178180715</v>
      </c>
      <c r="V15" s="34">
        <f t="shared" si="7"/>
        <v>24205.437415727141</v>
      </c>
      <c r="W15" s="34">
        <f t="shared" si="7"/>
        <v>24209.144220844399</v>
      </c>
      <c r="X15" s="34">
        <f t="shared" si="7"/>
        <v>24212.851593619413</v>
      </c>
      <c r="Y15" s="34">
        <f t="shared" si="7"/>
        <v>24216.559534139109</v>
      </c>
      <c r="Z15" s="34">
        <f t="shared" si="7"/>
        <v>24220.268042490432</v>
      </c>
    </row>
    <row r="16" spans="1:26">
      <c r="A16" s="5"/>
      <c r="B16" s="250" t="s">
        <v>619</v>
      </c>
      <c r="C16" s="34">
        <f t="shared" ref="C16:I16" si="8">$B36*(1+$C$38)^(C2-2007)</f>
        <v>50946.158782437575</v>
      </c>
      <c r="D16" s="34">
        <f t="shared" si="8"/>
        <v>51176.623949492736</v>
      </c>
      <c r="E16" s="34">
        <f t="shared" si="8"/>
        <v>51408.131671953335</v>
      </c>
      <c r="F16" s="34">
        <f t="shared" si="8"/>
        <v>51640.686666027868</v>
      </c>
      <c r="G16" s="34">
        <f t="shared" si="8"/>
        <v>51874.29366925951</v>
      </c>
      <c r="H16" s="34">
        <f t="shared" si="8"/>
        <v>52108.957440622689</v>
      </c>
      <c r="I16" s="34">
        <f t="shared" si="8"/>
        <v>52344.682760619966</v>
      </c>
      <c r="J16" s="397">
        <f>28928+23573</f>
        <v>52501</v>
      </c>
      <c r="K16" s="34">
        <f t="shared" ref="K16:S16" si="9">$C36*(1+$D$38)^(K2-2020)</f>
        <v>52650.400000000001</v>
      </c>
      <c r="L16" s="34">
        <f t="shared" si="9"/>
        <v>52800.225141616364</v>
      </c>
      <c r="M16" s="34">
        <f t="shared" si="9"/>
        <v>52950.4766346576</v>
      </c>
      <c r="N16" s="34">
        <f t="shared" si="9"/>
        <v>53101.155692374938</v>
      </c>
      <c r="O16" s="34">
        <f t="shared" si="9"/>
        <v>53252.263531472112</v>
      </c>
      <c r="P16" s="34">
        <f t="shared" si="9"/>
        <v>53403.801372115195</v>
      </c>
      <c r="Q16" s="34">
        <f t="shared" si="9"/>
        <v>53555.77043794241</v>
      </c>
      <c r="R16" s="34">
        <f t="shared" si="9"/>
        <v>53708.171956074038</v>
      </c>
      <c r="S16" s="34">
        <f t="shared" si="9"/>
        <v>53861.007157122353</v>
      </c>
      <c r="T16" s="397">
        <f>29600+24395</f>
        <v>53995</v>
      </c>
      <c r="U16" s="34">
        <f t="shared" ref="U16:Z16" si="10">$C36*(1+$D$38)^(U2-2020)</f>
        <v>54167.983547937576</v>
      </c>
      <c r="V16" s="34">
        <f t="shared" si="10"/>
        <v>54322.12721647841</v>
      </c>
      <c r="W16" s="34">
        <f t="shared" si="10"/>
        <v>54476.7095255038</v>
      </c>
      <c r="X16" s="34">
        <f t="shared" si="10"/>
        <v>54631.731723235469</v>
      </c>
      <c r="Y16" s="34">
        <f t="shared" si="10"/>
        <v>54787.195061447157</v>
      </c>
      <c r="Z16" s="34">
        <f t="shared" si="10"/>
        <v>54943.100795474718</v>
      </c>
    </row>
    <row r="17" spans="1:26">
      <c r="A17" s="5"/>
      <c r="B17" s="250"/>
      <c r="C17" s="189"/>
      <c r="E17" s="34"/>
      <c r="F17" s="34"/>
      <c r="G17" s="34"/>
      <c r="H17" s="34"/>
      <c r="I17" s="34"/>
      <c r="J17" s="34"/>
      <c r="K17" s="34"/>
      <c r="L17" s="34"/>
      <c r="M17" s="34"/>
      <c r="N17" s="34"/>
      <c r="O17" s="34"/>
      <c r="P17" s="34"/>
      <c r="Q17" s="34"/>
      <c r="R17" s="34"/>
      <c r="S17" s="34"/>
      <c r="T17" s="158"/>
      <c r="U17" s="34"/>
      <c r="V17" s="34"/>
      <c r="W17" s="34"/>
      <c r="X17" s="34"/>
      <c r="Y17" s="34"/>
      <c r="Z17" s="34"/>
    </row>
    <row r="18" spans="1:26">
      <c r="A18" s="5"/>
      <c r="B18" s="250"/>
      <c r="C18" s="189"/>
      <c r="E18" s="34"/>
      <c r="F18" s="34"/>
      <c r="G18" s="34"/>
      <c r="H18" s="34"/>
      <c r="I18" s="34"/>
      <c r="J18" s="34"/>
      <c r="K18" s="34"/>
      <c r="L18" s="34"/>
      <c r="M18" s="34"/>
      <c r="N18" s="34"/>
      <c r="O18" s="34"/>
      <c r="P18" s="34"/>
      <c r="Q18" s="34"/>
      <c r="R18" s="34"/>
      <c r="S18" s="34"/>
      <c r="T18" s="158"/>
      <c r="U18" s="34"/>
      <c r="V18" s="34"/>
      <c r="W18" s="34"/>
      <c r="X18" s="34"/>
      <c r="Y18" s="34"/>
      <c r="Z18" s="34"/>
    </row>
    <row r="19" spans="1:26">
      <c r="A19" s="70" t="s">
        <v>354</v>
      </c>
      <c r="B19" s="70" t="s">
        <v>350</v>
      </c>
      <c r="C19" s="278">
        <f>(C15+C16)*365*0.25</f>
        <v>6824512.5680011595</v>
      </c>
      <c r="D19" s="278">
        <f>(D15+D16)*365*0.5</f>
        <v>13699506.98064799</v>
      </c>
      <c r="E19" s="278"/>
      <c r="F19" s="278"/>
      <c r="G19" s="278"/>
      <c r="H19" s="278"/>
      <c r="I19" s="278"/>
      <c r="J19" s="278"/>
      <c r="K19" s="278"/>
      <c r="L19" s="278"/>
      <c r="M19" s="278"/>
      <c r="N19" s="278"/>
      <c r="O19" s="278"/>
      <c r="P19" s="278"/>
      <c r="Q19" s="278"/>
      <c r="R19" s="278"/>
      <c r="S19" s="278"/>
      <c r="T19" s="278"/>
      <c r="U19" s="278"/>
      <c r="V19" s="278"/>
      <c r="W19" s="278"/>
      <c r="X19" s="278"/>
      <c r="Y19" s="278"/>
      <c r="Z19" s="278"/>
    </row>
    <row r="20" spans="1:26">
      <c r="A20" s="70" t="s">
        <v>355</v>
      </c>
      <c r="B20" s="508" t="s">
        <v>350</v>
      </c>
      <c r="C20">
        <v>0</v>
      </c>
      <c r="D20" s="34">
        <f>(D15+D16)*365*0.5</f>
        <v>13699506.98064799</v>
      </c>
      <c r="E20" s="34">
        <f>(E15+E16)*365</f>
        <v>27500390.784342568</v>
      </c>
      <c r="F20" s="34">
        <f t="shared" ref="F20:Z20" si="11">(F15+F16)*365</f>
        <v>27602182.525659133</v>
      </c>
      <c r="G20" s="34">
        <f t="shared" si="11"/>
        <v>27704390.97766969</v>
      </c>
      <c r="H20" s="34">
        <f t="shared" si="11"/>
        <v>27807017.940743033</v>
      </c>
      <c r="I20" s="34">
        <f t="shared" si="11"/>
        <v>27910065.223228324</v>
      </c>
      <c r="J20" s="34">
        <f t="shared" si="11"/>
        <v>27981630</v>
      </c>
      <c r="K20" s="34">
        <f t="shared" si="11"/>
        <v>28037511.500000004</v>
      </c>
      <c r="L20" s="34">
        <f t="shared" si="11"/>
        <v>28093548.383504674</v>
      </c>
      <c r="M20" s="34">
        <f t="shared" si="11"/>
        <v>28149741.092125796</v>
      </c>
      <c r="N20" s="34">
        <f t="shared" si="11"/>
        <v>28206090.068731751</v>
      </c>
      <c r="O20" s="34">
        <f t="shared" si="11"/>
        <v>28262595.757451072</v>
      </c>
      <c r="P20" s="34">
        <f t="shared" si="11"/>
        <v>28319258.603676062</v>
      </c>
      <c r="Q20" s="34">
        <f t="shared" si="11"/>
        <v>28376079.054066371</v>
      </c>
      <c r="R20" s="34">
        <f t="shared" si="11"/>
        <v>28433057.556552596</v>
      </c>
      <c r="S20" s="34">
        <f t="shared" si="11"/>
        <v>28490194.560339916</v>
      </c>
      <c r="T20" s="34">
        <f t="shared" si="11"/>
        <v>28540445</v>
      </c>
      <c r="U20" s="34">
        <f t="shared" si="11"/>
        <v>28604945.875033174</v>
      </c>
      <c r="V20" s="34">
        <f t="shared" si="11"/>
        <v>28662561.090755027</v>
      </c>
      <c r="W20" s="34">
        <f t="shared" si="11"/>
        <v>28720336.617417097</v>
      </c>
      <c r="X20" s="34">
        <f t="shared" si="11"/>
        <v>28778272.910652034</v>
      </c>
      <c r="Y20" s="34">
        <f t="shared" si="11"/>
        <v>28836370.427388988</v>
      </c>
      <c r="Z20" s="34">
        <f t="shared" si="11"/>
        <v>28894629.625857282</v>
      </c>
    </row>
    <row r="21" spans="1:26">
      <c r="A21" s="70"/>
      <c r="B21" s="508" t="s">
        <v>512</v>
      </c>
      <c r="C21" s="278">
        <v>0</v>
      </c>
      <c r="D21" s="278">
        <f>0.5*D27</f>
        <v>-7638.8731286068014</v>
      </c>
      <c r="E21" s="278">
        <f t="shared" ref="E21:Z21" si="12">0.5*E27</f>
        <v>-15521.012053957616</v>
      </c>
      <c r="F21" s="278">
        <f t="shared" si="12"/>
        <v>-15764.277850701626</v>
      </c>
      <c r="G21" s="278">
        <f t="shared" si="12"/>
        <v>-16007.54364744564</v>
      </c>
      <c r="H21" s="278">
        <f t="shared" si="12"/>
        <v>-16250.809444189646</v>
      </c>
      <c r="I21" s="278">
        <f t="shared" si="12"/>
        <v>-16494.075240933664</v>
      </c>
      <c r="J21" s="278">
        <f t="shared" si="12"/>
        <v>-16737.34103767767</v>
      </c>
      <c r="K21" s="278">
        <f t="shared" si="12"/>
        <v>-17039.335066816537</v>
      </c>
      <c r="L21" s="278">
        <f t="shared" si="12"/>
        <v>-17341.3290959554</v>
      </c>
      <c r="M21" s="278">
        <f t="shared" si="12"/>
        <v>-17643.32312509427</v>
      </c>
      <c r="N21" s="278">
        <f t="shared" si="12"/>
        <v>-17945.317154233133</v>
      </c>
      <c r="O21" s="278">
        <f t="shared" si="12"/>
        <v>-18247.311183372</v>
      </c>
      <c r="P21" s="278">
        <f t="shared" si="12"/>
        <v>-18549.305212510866</v>
      </c>
      <c r="Q21" s="278">
        <f t="shared" si="12"/>
        <v>-18851.299241649733</v>
      </c>
      <c r="R21" s="278">
        <f t="shared" si="12"/>
        <v>-19153.293270788599</v>
      </c>
      <c r="S21" s="278">
        <f t="shared" si="12"/>
        <v>-19455.287299927462</v>
      </c>
      <c r="T21" s="278">
        <f t="shared" si="12"/>
        <v>-19757.281329066333</v>
      </c>
      <c r="U21" s="278">
        <f t="shared" si="12"/>
        <v>-20113.764627500983</v>
      </c>
      <c r="V21" s="278">
        <f t="shared" si="12"/>
        <v>-20470.247925935641</v>
      </c>
      <c r="W21" s="278">
        <f t="shared" si="12"/>
        <v>-20826.731224370298</v>
      </c>
      <c r="X21" s="278">
        <f t="shared" si="12"/>
        <v>-21183.214522804952</v>
      </c>
      <c r="Y21" s="278">
        <f t="shared" si="12"/>
        <v>-21539.69782123961</v>
      </c>
      <c r="Z21" s="278">
        <f t="shared" si="12"/>
        <v>-21896.181119674271</v>
      </c>
    </row>
    <row r="22" spans="1:26">
      <c r="A22" s="70"/>
      <c r="B22" s="70" t="s">
        <v>621</v>
      </c>
      <c r="C22" s="278">
        <v>0</v>
      </c>
      <c r="D22" s="278">
        <f>(D20+D21)</f>
        <v>13691868.107519384</v>
      </c>
      <c r="E22" s="278">
        <f>E20+E21</f>
        <v>27484869.772288609</v>
      </c>
      <c r="F22" s="278">
        <f t="shared" ref="F22:Z22" si="13">F20+F21</f>
        <v>27586418.24780843</v>
      </c>
      <c r="G22" s="278">
        <f t="shared" si="13"/>
        <v>27688383.434022244</v>
      </c>
      <c r="H22" s="278">
        <f t="shared" si="13"/>
        <v>27790767.131298844</v>
      </c>
      <c r="I22" s="278">
        <f t="shared" si="13"/>
        <v>27893571.147987392</v>
      </c>
      <c r="J22" s="278">
        <f t="shared" si="13"/>
        <v>27964892.658962321</v>
      </c>
      <c r="K22" s="278">
        <f t="shared" si="13"/>
        <v>28020472.164933186</v>
      </c>
      <c r="L22" s="278">
        <f t="shared" si="13"/>
        <v>28076207.054408718</v>
      </c>
      <c r="M22" s="278">
        <f t="shared" si="13"/>
        <v>28132097.769000702</v>
      </c>
      <c r="N22" s="278">
        <f t="shared" si="13"/>
        <v>28188144.751577519</v>
      </c>
      <c r="O22" s="278">
        <f t="shared" si="13"/>
        <v>28244348.446267702</v>
      </c>
      <c r="P22" s="278">
        <f t="shared" si="13"/>
        <v>28300709.298463549</v>
      </c>
      <c r="Q22" s="278">
        <f t="shared" si="13"/>
        <v>28357227.75482472</v>
      </c>
      <c r="R22" s="278">
        <f t="shared" si="13"/>
        <v>28413904.263281807</v>
      </c>
      <c r="S22" s="278">
        <f t="shared" si="13"/>
        <v>28470739.273039989</v>
      </c>
      <c r="T22" s="278">
        <f t="shared" si="13"/>
        <v>28520687.718670934</v>
      </c>
      <c r="U22" s="278">
        <f t="shared" si="13"/>
        <v>28584832.110405672</v>
      </c>
      <c r="V22" s="278">
        <f t="shared" si="13"/>
        <v>28642090.84282909</v>
      </c>
      <c r="W22" s="278">
        <f t="shared" si="13"/>
        <v>28699509.886192728</v>
      </c>
      <c r="X22" s="278">
        <f t="shared" si="13"/>
        <v>28757089.696129229</v>
      </c>
      <c r="Y22" s="278">
        <f t="shared" si="13"/>
        <v>28814830.729567748</v>
      </c>
      <c r="Z22" s="278">
        <f t="shared" si="13"/>
        <v>28872733.444737609</v>
      </c>
    </row>
    <row r="23" spans="1:26">
      <c r="A23" s="70"/>
      <c r="G23"/>
      <c r="I23"/>
    </row>
    <row r="24" spans="1:26">
      <c r="A24" s="70"/>
      <c r="B24" s="58" t="s">
        <v>420</v>
      </c>
      <c r="G24"/>
      <c r="I24"/>
    </row>
    <row r="25" spans="1:26">
      <c r="B25" s="78" t="s">
        <v>488</v>
      </c>
      <c r="C25" s="278">
        <f t="shared" ref="C25:Z25" si="14">C6+C7+C11+C12</f>
        <v>0</v>
      </c>
      <c r="D25" s="278">
        <f t="shared" si="14"/>
        <v>37051.834459275546</v>
      </c>
      <c r="E25" s="278">
        <f t="shared" si="14"/>
        <v>75283.613116970693</v>
      </c>
      <c r="F25" s="278">
        <f t="shared" si="14"/>
        <v>76463.557315390266</v>
      </c>
      <c r="G25" s="278">
        <f t="shared" si="14"/>
        <v>77643.501513809868</v>
      </c>
      <c r="H25" s="278">
        <f t="shared" si="14"/>
        <v>78823.445712229441</v>
      </c>
      <c r="I25" s="278">
        <f t="shared" si="14"/>
        <v>80003.389910649043</v>
      </c>
      <c r="J25" s="278">
        <f t="shared" si="14"/>
        <v>81183.334109068615</v>
      </c>
      <c r="K25" s="278">
        <f t="shared" si="14"/>
        <v>82648.13560360315</v>
      </c>
      <c r="L25" s="278">
        <f t="shared" si="14"/>
        <v>84112.937098137656</v>
      </c>
      <c r="M25" s="278">
        <f t="shared" si="14"/>
        <v>85577.738592672191</v>
      </c>
      <c r="N25" s="278">
        <f t="shared" si="14"/>
        <v>87042.540087206726</v>
      </c>
      <c r="O25" s="278">
        <f t="shared" si="14"/>
        <v>88507.341581741246</v>
      </c>
      <c r="P25" s="278">
        <f t="shared" si="14"/>
        <v>89972.143076275781</v>
      </c>
      <c r="Q25" s="278">
        <f t="shared" si="14"/>
        <v>91436.944570810301</v>
      </c>
      <c r="R25" s="278">
        <f t="shared" si="14"/>
        <v>92901.746065344836</v>
      </c>
      <c r="S25" s="278">
        <f t="shared" si="14"/>
        <v>94366.547559879371</v>
      </c>
      <c r="T25" s="278">
        <f t="shared" si="14"/>
        <v>95831.349054413906</v>
      </c>
      <c r="U25" s="278">
        <f t="shared" si="14"/>
        <v>97560.447042916057</v>
      </c>
      <c r="V25" s="278">
        <f t="shared" si="14"/>
        <v>99289.545031418267</v>
      </c>
      <c r="W25" s="278">
        <f t="shared" si="14"/>
        <v>101018.64301992045</v>
      </c>
      <c r="X25" s="278">
        <f t="shared" si="14"/>
        <v>102747.74100842263</v>
      </c>
      <c r="Y25" s="278">
        <f t="shared" si="14"/>
        <v>104476.83899692481</v>
      </c>
      <c r="Z25" s="278">
        <f t="shared" si="14"/>
        <v>106205.93698542702</v>
      </c>
    </row>
    <row r="26" spans="1:26">
      <c r="B26" s="78" t="s">
        <v>489</v>
      </c>
      <c r="C26" s="394">
        <v>0</v>
      </c>
      <c r="D26" s="278">
        <f>-D25*$A$71</f>
        <v>-6125.2680732395329</v>
      </c>
      <c r="E26" s="278">
        <f>-E25*$A$71</f>
        <v>-12445.60002475283</v>
      </c>
      <c r="F26" s="278">
        <f t="shared" ref="F26:Z26" si="15">-F25*$A$71</f>
        <v>-12640.663903026589</v>
      </c>
      <c r="G26" s="278">
        <f t="shared" si="15"/>
        <v>-12835.727781300355</v>
      </c>
      <c r="H26" s="278">
        <f t="shared" si="15"/>
        <v>-13030.791659574114</v>
      </c>
      <c r="I26" s="278">
        <f t="shared" si="15"/>
        <v>-13225.855537847878</v>
      </c>
      <c r="J26" s="278">
        <f t="shared" si="15"/>
        <v>-13420.919416121638</v>
      </c>
      <c r="K26" s="278">
        <f t="shared" si="15"/>
        <v>-13663.074817036202</v>
      </c>
      <c r="L26" s="278">
        <f t="shared" si="15"/>
        <v>-13905.230217950762</v>
      </c>
      <c r="M26" s="278">
        <f t="shared" si="15"/>
        <v>-14147.385618865326</v>
      </c>
      <c r="N26" s="278">
        <f t="shared" si="15"/>
        <v>-14389.54101977989</v>
      </c>
      <c r="O26" s="278">
        <f t="shared" si="15"/>
        <v>-14631.696420694452</v>
      </c>
      <c r="P26" s="278">
        <f t="shared" si="15"/>
        <v>-14873.851821609016</v>
      </c>
      <c r="Q26" s="278">
        <f t="shared" si="15"/>
        <v>-15116.007222523578</v>
      </c>
      <c r="R26" s="278">
        <f t="shared" si="15"/>
        <v>-15358.162623438142</v>
      </c>
      <c r="S26" s="278">
        <f t="shared" si="15"/>
        <v>-15600.318024352708</v>
      </c>
      <c r="T26" s="278">
        <f t="shared" si="15"/>
        <v>-15842.473425267272</v>
      </c>
      <c r="U26" s="278">
        <f t="shared" si="15"/>
        <v>-16128.321315366098</v>
      </c>
      <c r="V26" s="278">
        <f t="shared" si="15"/>
        <v>-16414.169205464936</v>
      </c>
      <c r="W26" s="278">
        <f t="shared" si="15"/>
        <v>-16700.017095563766</v>
      </c>
      <c r="X26" s="278">
        <f t="shared" si="15"/>
        <v>-16985.8649856626</v>
      </c>
      <c r="Y26" s="278">
        <f t="shared" si="15"/>
        <v>-17271.71287576143</v>
      </c>
      <c r="Z26" s="278">
        <f t="shared" si="15"/>
        <v>-17557.560765860268</v>
      </c>
    </row>
    <row r="27" spans="1:26">
      <c r="B27" s="78" t="s">
        <v>490</v>
      </c>
      <c r="C27" s="278">
        <f t="shared" ref="C27:Z27" si="16">-(C6+C11)</f>
        <v>0</v>
      </c>
      <c r="D27" s="278">
        <f t="shared" si="16"/>
        <v>-15277.746257213603</v>
      </c>
      <c r="E27" s="278">
        <f t="shared" si="16"/>
        <v>-31042.024107915233</v>
      </c>
      <c r="F27" s="278">
        <f t="shared" si="16"/>
        <v>-31528.555701403253</v>
      </c>
      <c r="G27" s="278">
        <f t="shared" si="16"/>
        <v>-32015.08729489128</v>
      </c>
      <c r="H27" s="278">
        <f t="shared" si="16"/>
        <v>-32501.618888379293</v>
      </c>
      <c r="I27" s="278">
        <f t="shared" si="16"/>
        <v>-32988.150481867327</v>
      </c>
      <c r="J27" s="278">
        <f t="shared" si="16"/>
        <v>-33474.68207535534</v>
      </c>
      <c r="K27" s="278">
        <f t="shared" si="16"/>
        <v>-34078.670133633073</v>
      </c>
      <c r="L27" s="278">
        <f t="shared" si="16"/>
        <v>-34682.658191910799</v>
      </c>
      <c r="M27" s="278">
        <f t="shared" si="16"/>
        <v>-35286.64625018854</v>
      </c>
      <c r="N27" s="278">
        <f t="shared" si="16"/>
        <v>-35890.634308466266</v>
      </c>
      <c r="O27" s="278">
        <f t="shared" si="16"/>
        <v>-36494.622366743999</v>
      </c>
      <c r="P27" s="278">
        <f t="shared" si="16"/>
        <v>-37098.610425021732</v>
      </c>
      <c r="Q27" s="278">
        <f t="shared" si="16"/>
        <v>-37702.598483299465</v>
      </c>
      <c r="R27" s="278">
        <f t="shared" si="16"/>
        <v>-38306.586541577199</v>
      </c>
      <c r="S27" s="278">
        <f t="shared" si="16"/>
        <v>-38910.574599854925</v>
      </c>
      <c r="T27" s="278">
        <f t="shared" si="16"/>
        <v>-39514.562658132665</v>
      </c>
      <c r="U27" s="278">
        <f t="shared" si="16"/>
        <v>-40227.529255001966</v>
      </c>
      <c r="V27" s="278">
        <f t="shared" si="16"/>
        <v>-40940.495851871281</v>
      </c>
      <c r="W27" s="278">
        <f t="shared" si="16"/>
        <v>-41653.462448740596</v>
      </c>
      <c r="X27" s="278">
        <f t="shared" si="16"/>
        <v>-42366.429045609904</v>
      </c>
      <c r="Y27" s="278">
        <f t="shared" si="16"/>
        <v>-43079.39564247922</v>
      </c>
      <c r="Z27" s="278">
        <f t="shared" si="16"/>
        <v>-43792.362239348542</v>
      </c>
    </row>
    <row r="28" spans="1:26">
      <c r="B28" s="78" t="s">
        <v>491</v>
      </c>
      <c r="C28" s="278">
        <f>-('Mode Operating Assumptions'!$C$27*(C6+C11))</f>
        <v>0</v>
      </c>
      <c r="D28" s="278">
        <f>-('Mode Operating Assumptions'!$C$27*(D6+D11))</f>
        <v>-99305.350671888416</v>
      </c>
      <c r="E28" s="278">
        <f>-('Mode Operating Assumptions'!$C$27*(E6+E11))</f>
        <v>-201773.15670144901</v>
      </c>
      <c r="F28" s="278">
        <f>-('Mode Operating Assumptions'!$C$27*(F6+F11))</f>
        <v>-204935.61205912114</v>
      </c>
      <c r="G28" s="278">
        <f>-('Mode Operating Assumptions'!$C$27*(G6+G11))</f>
        <v>-208098.06741679332</v>
      </c>
      <c r="H28" s="278">
        <f>-('Mode Operating Assumptions'!$C$27*(H6+H11))</f>
        <v>-211260.52277446541</v>
      </c>
      <c r="I28" s="278">
        <f>-('Mode Operating Assumptions'!$C$27*(I6+I11))</f>
        <v>-214422.97813213762</v>
      </c>
      <c r="J28" s="278">
        <f>-('Mode Operating Assumptions'!$C$27*(J6+J11))</f>
        <v>-217585.43348980971</v>
      </c>
      <c r="K28" s="278">
        <f>-('Mode Operating Assumptions'!$C$27*(K6+K11))</f>
        <v>-221511.35586861498</v>
      </c>
      <c r="L28" s="278">
        <f>-('Mode Operating Assumptions'!$C$27*(L6+L11))</f>
        <v>-225437.27824742021</v>
      </c>
      <c r="M28" s="278">
        <f>-('Mode Operating Assumptions'!$C$27*(M6+M11))</f>
        <v>-229363.2006262255</v>
      </c>
      <c r="N28" s="278">
        <f>-('Mode Operating Assumptions'!$C$27*(N6+N11))</f>
        <v>-233289.12300503073</v>
      </c>
      <c r="O28" s="278">
        <f>-('Mode Operating Assumptions'!$C$27*(O6+O11))</f>
        <v>-237215.045383836</v>
      </c>
      <c r="P28" s="278">
        <f>-('Mode Operating Assumptions'!$C$27*(P6+P11))</f>
        <v>-241140.96776264126</v>
      </c>
      <c r="Q28" s="278">
        <f>-('Mode Operating Assumptions'!$C$27*(Q6+Q11))</f>
        <v>-245066.89014144652</v>
      </c>
      <c r="R28" s="278">
        <f>-('Mode Operating Assumptions'!$C$27*(R6+R11))</f>
        <v>-248992.81252025178</v>
      </c>
      <c r="S28" s="278">
        <f>-('Mode Operating Assumptions'!$C$27*(S6+S11))</f>
        <v>-252918.73489905702</v>
      </c>
      <c r="T28" s="278">
        <f>-('Mode Operating Assumptions'!$C$27*(T6+T11))</f>
        <v>-256844.65727786231</v>
      </c>
      <c r="U28" s="278">
        <f>-('Mode Operating Assumptions'!$C$27*(U6+U11))</f>
        <v>-261478.94015751278</v>
      </c>
      <c r="V28" s="278">
        <f>-('Mode Operating Assumptions'!$C$27*(V6+V11))</f>
        <v>-266113.22303716332</v>
      </c>
      <c r="W28" s="278">
        <f>-('Mode Operating Assumptions'!$C$27*(W6+W11))</f>
        <v>-270747.50591681385</v>
      </c>
      <c r="X28" s="278">
        <f>-('Mode Operating Assumptions'!$C$27*(X6+X11))</f>
        <v>-275381.78879646439</v>
      </c>
      <c r="Y28" s="278">
        <f>-('Mode Operating Assumptions'!$C$27*(Y6+Y11))</f>
        <v>-280016.07167611492</v>
      </c>
      <c r="Z28" s="278">
        <f>-('Mode Operating Assumptions'!$C$27*(Z6+Z11))</f>
        <v>-284650.35455576552</v>
      </c>
    </row>
    <row r="29" spans="1:26">
      <c r="A29" s="70"/>
      <c r="B29" s="54" t="s">
        <v>492</v>
      </c>
      <c r="C29" s="227">
        <f>-(C28*'Mode Operating Assumptions'!$C$8/'Mode Operating Assumptions'!C11)</f>
        <v>0</v>
      </c>
      <c r="D29" s="227">
        <f>-(D28*'Mode Operating Assumptions'!$C$8/'Mode Operating Assumptions'!D11)</f>
        <v>17499.876456310885</v>
      </c>
      <c r="E29" s="227">
        <f>-(E28*'Mode Operating Assumptions'!$C$8/'Mode Operating Assumptions'!E11)</f>
        <v>34755.699968171706</v>
      </c>
      <c r="F29" s="227">
        <f>-(F28*'Mode Operating Assumptions'!$C$8/'Mode Operating Assumptions'!F11)</f>
        <v>34522.405023179708</v>
      </c>
      <c r="G29" s="227">
        <f>-(G28*'Mode Operating Assumptions'!$C$8/'Mode Operating Assumptions'!G11)</f>
        <v>34299.1720888899</v>
      </c>
      <c r="H29" s="227">
        <f>-(H28*'Mode Operating Assumptions'!$C$8/'Mode Operating Assumptions'!H11)</f>
        <v>34085.363945189056</v>
      </c>
      <c r="I29" s="227">
        <f>-(I28*'Mode Operating Assumptions'!$C$8/'Mode Operating Assumptions'!I11)</f>
        <v>33880.396065880901</v>
      </c>
      <c r="J29" s="227">
        <f>-(J28*'Mode Operating Assumptions'!$C$8/'Mode Operating Assumptions'!J11)</f>
        <v>33683.731282207984</v>
      </c>
      <c r="K29" s="227">
        <f>-(K28*'Mode Operating Assumptions'!$C$8/'Mode Operating Assumptions'!K11)</f>
        <v>33610.718692745366</v>
      </c>
      <c r="L29" s="227">
        <f>-(L28*'Mode Operating Assumptions'!$C$8/'Mode Operating Assumptions'!L11)</f>
        <v>34188.299184773394</v>
      </c>
      <c r="M29" s="227">
        <f>-(M28*'Mode Operating Assumptions'!$C$8/'Mode Operating Assumptions'!M11)</f>
        <v>34765.268288608524</v>
      </c>
      <c r="N29" s="227">
        <f>-(N28*'Mode Operating Assumptions'!$C$8/'Mode Operating Assumptions'!N11)</f>
        <v>35341.626974499384</v>
      </c>
      <c r="O29" s="227">
        <f>-(O28*'Mode Operating Assumptions'!$C$8/'Mode Operating Assumptions'!O11)</f>
        <v>35917.376210642709</v>
      </c>
      <c r="P29" s="227">
        <f>-(P28*'Mode Operating Assumptions'!$C$8/'Mode Operating Assumptions'!P11)</f>
        <v>36492.516963188733</v>
      </c>
      <c r="Q29" s="227">
        <f>-(Q28*'Mode Operating Assumptions'!$C$8/'Mode Operating Assumptions'!Q11)</f>
        <v>37067.050196246608</v>
      </c>
      <c r="R29" s="227">
        <f>-(R28*'Mode Operating Assumptions'!$C$8/'Mode Operating Assumptions'!R11)</f>
        <v>37640.976871889798</v>
      </c>
      <c r="S29" s="227">
        <f>-(S28*'Mode Operating Assumptions'!$C$8/'Mode Operating Assumptions'!S11)</f>
        <v>38214.297950161425</v>
      </c>
      <c r="T29" s="227">
        <f>-(T28*'Mode Operating Assumptions'!$C$8/'Mode Operating Assumptions'!T11)</f>
        <v>38787.014389079675</v>
      </c>
      <c r="U29" s="227">
        <f>-(U28*'Mode Operating Assumptions'!$C$8/'Mode Operating Assumptions'!U11)</f>
        <v>39466.042775438968</v>
      </c>
      <c r="V29" s="227">
        <f>-(V28*'Mode Operating Assumptions'!$C$8/'Mode Operating Assumptions'!V11)</f>
        <v>40144.35579520664</v>
      </c>
      <c r="W29" s="227">
        <f>-(W28*'Mode Operating Assumptions'!$C$8/'Mode Operating Assumptions'!W11)</f>
        <v>40821.954578261677</v>
      </c>
      <c r="X29" s="227">
        <f>-(X28*'Mode Operating Assumptions'!$C$8/'Mode Operating Assumptions'!X11)</f>
        <v>41498.840252104863</v>
      </c>
      <c r="Y29" s="227">
        <f>-(Y28*'Mode Operating Assumptions'!$C$8/'Mode Operating Assumptions'!Y11)</f>
        <v>42175.013941865065</v>
      </c>
      <c r="Z29" s="227">
        <f>-(Z28*'Mode Operating Assumptions'!$C$8/'Mode Operating Assumptions'!Z11)</f>
        <v>42850.476770305489</v>
      </c>
    </row>
    <row r="30" spans="1:26">
      <c r="A30" s="70"/>
      <c r="B30" s="54"/>
      <c r="C30" s="227"/>
      <c r="D30" s="227"/>
      <c r="E30" s="227"/>
      <c r="F30" s="227"/>
      <c r="G30" s="227"/>
      <c r="H30" s="227"/>
      <c r="I30" s="227"/>
      <c r="J30" s="227"/>
      <c r="K30" s="227"/>
      <c r="L30" s="227"/>
      <c r="M30" s="227"/>
      <c r="N30" s="227"/>
      <c r="O30" s="227"/>
      <c r="P30" s="227"/>
      <c r="Q30" s="227"/>
      <c r="R30" s="227"/>
      <c r="S30" s="227"/>
      <c r="T30" s="227"/>
      <c r="U30" s="227"/>
      <c r="V30" s="227"/>
      <c r="W30" s="227"/>
      <c r="X30" s="227"/>
      <c r="Y30" s="227"/>
      <c r="Z30" s="227"/>
    </row>
    <row r="31" spans="1:26">
      <c r="A31" s="5" t="s">
        <v>633</v>
      </c>
      <c r="B31" s="54"/>
      <c r="C31" s="227"/>
      <c r="D31" s="227"/>
      <c r="E31" s="227"/>
      <c r="F31" s="227"/>
      <c r="G31" s="227"/>
      <c r="H31" s="227"/>
      <c r="I31" s="227"/>
      <c r="J31" s="227"/>
      <c r="K31" s="227"/>
      <c r="L31" s="227"/>
      <c r="M31" s="227"/>
      <c r="N31" s="227"/>
      <c r="O31" s="227"/>
      <c r="P31" s="227"/>
      <c r="Q31" s="227"/>
      <c r="R31" s="227"/>
      <c r="S31" s="227"/>
      <c r="T31" s="227"/>
      <c r="U31" s="227"/>
      <c r="V31" s="227"/>
      <c r="W31" s="227"/>
      <c r="X31" s="227"/>
      <c r="Y31" s="227"/>
      <c r="Z31" s="227"/>
    </row>
    <row r="32" spans="1:26">
      <c r="A32" s="70"/>
      <c r="B32" s="54"/>
      <c r="C32" s="227"/>
      <c r="D32" s="227"/>
      <c r="E32" s="227"/>
      <c r="F32" s="227"/>
      <c r="G32" s="227"/>
      <c r="H32" s="227"/>
      <c r="I32" s="227"/>
      <c r="J32" s="227"/>
      <c r="K32" s="227"/>
      <c r="L32" s="227"/>
      <c r="M32" s="227"/>
      <c r="N32" s="227"/>
      <c r="O32" s="227"/>
      <c r="P32" s="227"/>
      <c r="Q32" s="227"/>
      <c r="R32" s="227"/>
      <c r="S32" s="227"/>
      <c r="T32" s="227"/>
      <c r="U32" s="227"/>
      <c r="V32" s="227"/>
      <c r="W32" s="227"/>
      <c r="X32" s="227"/>
      <c r="Y32" s="227"/>
      <c r="Z32" s="227"/>
    </row>
    <row r="33" spans="1:26">
      <c r="A33" s="70" t="s">
        <v>620</v>
      </c>
      <c r="B33" s="54"/>
      <c r="C33" s="227"/>
      <c r="D33" s="227"/>
      <c r="E33" s="227"/>
      <c r="F33" s="227"/>
      <c r="G33" s="227"/>
      <c r="H33" s="227"/>
      <c r="I33" s="227"/>
      <c r="J33" s="227"/>
      <c r="K33" s="227"/>
      <c r="L33" s="227"/>
      <c r="M33" s="227"/>
      <c r="N33" s="227"/>
      <c r="O33" s="227"/>
      <c r="P33" s="227"/>
      <c r="Q33" s="227"/>
      <c r="R33" s="227"/>
      <c r="S33" s="227"/>
      <c r="T33" s="227"/>
      <c r="U33" s="227"/>
      <c r="V33" s="227"/>
      <c r="W33" s="227"/>
      <c r="X33" s="227"/>
      <c r="Y33" s="227"/>
      <c r="Z33" s="227"/>
    </row>
    <row r="34" spans="1:26" ht="13.5" thickBot="1">
      <c r="B34" s="509">
        <v>2007</v>
      </c>
      <c r="C34" s="145">
        <v>2020</v>
      </c>
      <c r="D34" s="509">
        <v>2030</v>
      </c>
      <c r="E34" s="227"/>
      <c r="F34" s="227"/>
      <c r="G34" s="534"/>
      <c r="H34" s="227"/>
      <c r="I34" s="227"/>
      <c r="J34" s="227"/>
      <c r="K34" s="227"/>
      <c r="L34" s="227"/>
      <c r="M34" s="227"/>
      <c r="N34" s="227"/>
      <c r="O34" s="227"/>
      <c r="P34" s="227"/>
      <c r="Q34" s="227"/>
      <c r="R34" s="227"/>
      <c r="S34" s="227"/>
      <c r="T34" s="227"/>
      <c r="U34" s="227"/>
      <c r="V34" s="227"/>
      <c r="W34" s="227"/>
      <c r="X34" s="227"/>
      <c r="Y34" s="227"/>
      <c r="Z34" s="227"/>
    </row>
    <row r="35" spans="1:26">
      <c r="A35" s="250" t="s">
        <v>618</v>
      </c>
      <c r="B35" s="397">
        <f>11379+12189</f>
        <v>23568</v>
      </c>
      <c r="C35" s="397">
        <f>11638+12523</f>
        <v>24161</v>
      </c>
      <c r="D35" s="510">
        <f>11624+12574</f>
        <v>24198</v>
      </c>
      <c r="E35" s="227"/>
      <c r="F35" s="227"/>
      <c r="G35" s="227"/>
      <c r="H35" s="227"/>
      <c r="I35" s="227"/>
      <c r="J35" s="227"/>
      <c r="K35" s="227"/>
      <c r="L35" s="227"/>
      <c r="M35" s="227"/>
      <c r="N35" s="227"/>
      <c r="O35" s="227"/>
      <c r="P35" s="227"/>
      <c r="Q35" s="227"/>
      <c r="R35" s="227"/>
      <c r="S35" s="227"/>
      <c r="T35" s="227"/>
      <c r="U35" s="227"/>
      <c r="V35" s="227"/>
      <c r="W35" s="227"/>
      <c r="X35" s="227"/>
      <c r="Y35" s="227"/>
      <c r="Z35" s="227"/>
    </row>
    <row r="36" spans="1:26">
      <c r="A36" s="250" t="s">
        <v>619</v>
      </c>
      <c r="B36" s="397">
        <f>27853+21732</f>
        <v>49585</v>
      </c>
      <c r="C36" s="397">
        <f>28928+23573</f>
        <v>52501</v>
      </c>
      <c r="D36" s="510">
        <f>29600+24395</f>
        <v>53995</v>
      </c>
      <c r="E36" s="227"/>
      <c r="F36" s="227"/>
      <c r="G36" s="227"/>
      <c r="H36" s="227"/>
      <c r="I36" s="227"/>
      <c r="J36" s="227"/>
      <c r="K36" s="227"/>
      <c r="L36" s="227"/>
      <c r="M36" s="227"/>
      <c r="N36" s="227"/>
      <c r="O36" s="227"/>
      <c r="P36" s="227"/>
      <c r="Q36" s="227"/>
      <c r="R36" s="227"/>
      <c r="S36" s="227"/>
      <c r="T36" s="227"/>
      <c r="U36" s="227"/>
      <c r="V36" s="227"/>
      <c r="W36" s="227"/>
      <c r="X36" s="227"/>
      <c r="Y36" s="227"/>
      <c r="Z36" s="227"/>
    </row>
    <row r="37" spans="1:26">
      <c r="A37" s="70"/>
      <c r="B37" s="54"/>
      <c r="C37" s="158">
        <f>((C35-B35)/B35)/13</f>
        <v>1.9354796595122462E-3</v>
      </c>
      <c r="D37" s="158">
        <f>((D35-C35)/C35)/10</f>
        <v>1.5313935681470137E-4</v>
      </c>
      <c r="E37" s="227"/>
      <c r="F37" s="227"/>
      <c r="G37" s="227"/>
      <c r="H37" s="227"/>
      <c r="I37" s="227"/>
      <c r="J37" s="227"/>
      <c r="K37" s="227"/>
      <c r="L37" s="227"/>
      <c r="M37" s="227"/>
      <c r="N37" s="227"/>
      <c r="O37" s="227"/>
      <c r="P37" s="227"/>
      <c r="Q37" s="227"/>
      <c r="R37" s="227"/>
      <c r="S37" s="227"/>
      <c r="T37" s="227"/>
      <c r="U37" s="227"/>
      <c r="V37" s="227"/>
      <c r="W37" s="227"/>
      <c r="X37" s="227"/>
      <c r="Y37" s="227"/>
      <c r="Z37" s="227"/>
    </row>
    <row r="38" spans="1:26">
      <c r="A38" s="70"/>
      <c r="B38" s="54"/>
      <c r="C38" s="158">
        <f>((C36-B36)/B36)/13</f>
        <v>4.523700560808557E-3</v>
      </c>
      <c r="D38" s="158">
        <f>((D36-C36)/C36)/10</f>
        <v>2.8456600826650921E-3</v>
      </c>
      <c r="E38" s="227"/>
      <c r="F38" s="227"/>
      <c r="G38" s="227"/>
      <c r="H38" s="227"/>
      <c r="I38" s="227"/>
      <c r="J38" s="227"/>
      <c r="K38" s="227"/>
      <c r="L38" s="227"/>
      <c r="M38" s="227"/>
      <c r="N38" s="227"/>
      <c r="O38" s="227"/>
      <c r="P38" s="227"/>
      <c r="Q38" s="227"/>
      <c r="R38" s="227"/>
      <c r="S38" s="227"/>
      <c r="T38" s="227"/>
      <c r="U38" s="227"/>
      <c r="V38" s="227"/>
      <c r="W38" s="227"/>
      <c r="X38" s="227"/>
      <c r="Y38" s="227"/>
      <c r="Z38" s="227"/>
    </row>
    <row r="39" spans="1:26">
      <c r="A39" s="70"/>
      <c r="B39" s="54"/>
      <c r="C39" s="158"/>
      <c r="D39" s="158"/>
      <c r="E39" s="227"/>
      <c r="F39" s="227"/>
      <c r="G39" s="227"/>
      <c r="H39" s="227"/>
      <c r="I39" s="227"/>
      <c r="J39" s="227"/>
      <c r="K39" s="227"/>
      <c r="L39" s="227"/>
      <c r="M39" s="227"/>
      <c r="N39" s="227"/>
      <c r="O39" s="227"/>
      <c r="P39" s="227"/>
      <c r="Q39" s="227"/>
      <c r="R39" s="227"/>
      <c r="S39" s="227"/>
      <c r="T39" s="227"/>
      <c r="U39" s="227"/>
      <c r="V39" s="227"/>
      <c r="W39" s="227"/>
      <c r="X39" s="227"/>
      <c r="Y39" s="227"/>
      <c r="Z39" s="227"/>
    </row>
    <row r="40" spans="1:26">
      <c r="A40" s="26" t="s">
        <v>622</v>
      </c>
      <c r="H40" s="227"/>
      <c r="I40" s="535" t="s">
        <v>641</v>
      </c>
      <c r="J40" s="227"/>
      <c r="K40" s="227"/>
      <c r="L40" s="227"/>
      <c r="M40" s="227"/>
      <c r="N40" s="227"/>
      <c r="O40" s="227"/>
      <c r="P40" s="227"/>
      <c r="Q40" s="227"/>
      <c r="R40" s="227"/>
      <c r="S40" s="227"/>
      <c r="T40" s="227"/>
      <c r="U40" s="227"/>
      <c r="V40" s="227"/>
      <c r="W40" s="227"/>
      <c r="X40" s="227"/>
      <c r="Y40" s="227"/>
      <c r="Z40" s="227"/>
    </row>
    <row r="41" spans="1:26">
      <c r="A41" s="26" t="s">
        <v>627</v>
      </c>
      <c r="H41" s="227"/>
      <c r="I41" s="533">
        <f>13/3</f>
        <v>4.333333333333333</v>
      </c>
      <c r="J41" s="535" t="s">
        <v>642</v>
      </c>
      <c r="K41" s="227"/>
      <c r="L41" s="227"/>
      <c r="M41" s="227"/>
      <c r="N41" s="227"/>
      <c r="O41" s="227"/>
      <c r="P41" s="227"/>
      <c r="Q41" s="227"/>
      <c r="R41" s="227"/>
      <c r="S41" s="227"/>
      <c r="T41" s="227"/>
      <c r="U41" s="227"/>
      <c r="V41" s="227"/>
      <c r="W41" s="227"/>
      <c r="X41" s="227"/>
      <c r="Y41" s="227"/>
      <c r="Z41" s="227"/>
    </row>
    <row r="42" spans="1:26">
      <c r="A42" t="s">
        <v>623</v>
      </c>
      <c r="H42" s="227"/>
      <c r="I42" s="534">
        <f>I41/(C81+C94)*K42</f>
        <v>7.7199398310568755E-7</v>
      </c>
      <c r="J42" s="535" t="s">
        <v>643</v>
      </c>
      <c r="K42" s="536">
        <f>C94/(C94+C81)</f>
        <v>0.35094370380909512</v>
      </c>
      <c r="L42" s="227"/>
      <c r="M42" s="227"/>
      <c r="N42" s="227"/>
      <c r="O42" s="227"/>
      <c r="P42" s="227"/>
      <c r="Q42" s="227"/>
      <c r="R42" s="227"/>
      <c r="S42" s="227"/>
      <c r="T42" s="227"/>
      <c r="U42" s="227"/>
      <c r="V42" s="227"/>
      <c r="W42" s="227"/>
      <c r="X42" s="227"/>
      <c r="Y42" s="227"/>
      <c r="Z42" s="227"/>
    </row>
    <row r="43" spans="1:26">
      <c r="A43" s="70"/>
      <c r="D43" s="514"/>
      <c r="E43" s="520" t="s">
        <v>624</v>
      </c>
      <c r="F43" s="520" t="s">
        <v>626</v>
      </c>
      <c r="G43" s="521" t="s">
        <v>625</v>
      </c>
      <c r="H43" s="227"/>
      <c r="I43" s="534">
        <f>I41/(C81+C94)*K43</f>
        <v>1.4277718902425735E-6</v>
      </c>
      <c r="J43" s="535" t="s">
        <v>644</v>
      </c>
      <c r="K43" s="536">
        <f>C81/(C81+C94)</f>
        <v>0.64905629619090499</v>
      </c>
      <c r="L43" s="227"/>
      <c r="M43" s="227"/>
      <c r="N43" s="227"/>
      <c r="O43" s="227"/>
      <c r="P43" s="227"/>
      <c r="Q43" s="227"/>
      <c r="R43" s="227"/>
      <c r="S43" s="227"/>
      <c r="T43" s="227"/>
      <c r="U43" s="227"/>
      <c r="V43" s="227"/>
      <c r="W43" s="227"/>
      <c r="X43" s="227"/>
      <c r="Y43" s="227"/>
      <c r="Z43" s="227"/>
    </row>
    <row r="44" spans="1:26">
      <c r="A44" s="70"/>
      <c r="B44" s="511" t="s">
        <v>628</v>
      </c>
      <c r="C44" s="513"/>
      <c r="D44" s="516" t="s">
        <v>629</v>
      </c>
      <c r="E44" s="517">
        <v>1696</v>
      </c>
      <c r="F44" s="518">
        <v>1035</v>
      </c>
      <c r="G44" s="519">
        <f>E44+F44</f>
        <v>2731</v>
      </c>
      <c r="H44" s="227"/>
      <c r="I44" s="534"/>
      <c r="J44" s="227"/>
      <c r="K44" s="227"/>
      <c r="L44" s="227"/>
      <c r="M44" s="227"/>
      <c r="N44" s="227"/>
      <c r="O44" s="227"/>
      <c r="P44" s="227"/>
      <c r="Q44" s="227"/>
      <c r="R44" s="227"/>
      <c r="S44" s="227"/>
      <c r="T44" s="227"/>
      <c r="U44" s="227"/>
      <c r="V44" s="227"/>
      <c r="W44" s="227"/>
      <c r="X44" s="227"/>
      <c r="Y44" s="227"/>
      <c r="Z44" s="227"/>
    </row>
    <row r="45" spans="1:26">
      <c r="A45" s="70"/>
      <c r="B45" s="522" t="s">
        <v>630</v>
      </c>
      <c r="C45" s="523"/>
      <c r="D45" s="522" t="s">
        <v>631</v>
      </c>
      <c r="E45" s="523">
        <v>2321</v>
      </c>
      <c r="F45" s="523">
        <v>4269</v>
      </c>
      <c r="G45" s="524">
        <f>E45+F45</f>
        <v>6590</v>
      </c>
      <c r="H45" s="227"/>
      <c r="I45" s="227"/>
      <c r="J45" s="227"/>
      <c r="K45" s="227"/>
      <c r="L45" s="227"/>
      <c r="M45" s="227"/>
      <c r="N45" s="227"/>
      <c r="O45" s="227"/>
      <c r="P45" s="227"/>
      <c r="Q45" s="227"/>
      <c r="R45" s="227"/>
      <c r="S45" s="227"/>
      <c r="T45" s="227"/>
      <c r="U45" s="227"/>
      <c r="V45" s="227"/>
      <c r="W45" s="227"/>
      <c r="X45" s="227"/>
      <c r="Y45" s="227"/>
      <c r="Z45" s="227"/>
    </row>
    <row r="46" spans="1:26">
      <c r="A46" s="70"/>
      <c r="B46" s="512" t="s">
        <v>632</v>
      </c>
      <c r="C46" s="469"/>
      <c r="D46" s="516" t="s">
        <v>631</v>
      </c>
      <c r="E46" s="517">
        <v>1276</v>
      </c>
      <c r="F46" s="518">
        <v>1831</v>
      </c>
      <c r="G46" s="519">
        <f>E46+F46</f>
        <v>3107</v>
      </c>
      <c r="H46" s="227"/>
      <c r="I46" s="227"/>
      <c r="J46" s="227"/>
      <c r="K46" s="227"/>
      <c r="L46" s="227"/>
      <c r="M46" s="227"/>
      <c r="N46" s="227"/>
      <c r="O46" s="227"/>
      <c r="P46" s="227"/>
      <c r="Q46" s="227"/>
      <c r="R46" s="227"/>
      <c r="S46" s="227"/>
      <c r="T46" s="227"/>
      <c r="U46" s="227"/>
      <c r="V46" s="227"/>
      <c r="W46" s="227"/>
      <c r="X46" s="227"/>
      <c r="Y46" s="227"/>
      <c r="Z46" s="227"/>
    </row>
    <row r="47" spans="1:26">
      <c r="A47" s="70"/>
      <c r="B47" s="526" t="s">
        <v>637</v>
      </c>
      <c r="C47" s="76"/>
      <c r="D47" s="515"/>
      <c r="E47" s="515"/>
      <c r="F47" s="76"/>
      <c r="G47" s="76"/>
      <c r="H47" s="227"/>
      <c r="I47" s="227"/>
      <c r="J47" s="227"/>
      <c r="K47" s="227"/>
      <c r="L47" s="227"/>
      <c r="M47" s="227"/>
      <c r="N47" s="227"/>
      <c r="O47" s="227"/>
      <c r="P47" s="227"/>
      <c r="Q47" s="227"/>
      <c r="R47" s="227"/>
      <c r="S47" s="227"/>
      <c r="T47" s="227"/>
      <c r="U47" s="227"/>
      <c r="V47" s="227"/>
      <c r="W47" s="227"/>
      <c r="X47" s="227"/>
      <c r="Y47" s="227"/>
      <c r="Z47" s="227"/>
    </row>
    <row r="48" spans="1:26">
      <c r="A48" s="70"/>
      <c r="B48" s="515"/>
      <c r="C48" s="76"/>
      <c r="D48" s="515"/>
      <c r="E48" s="515"/>
      <c r="F48" s="76"/>
      <c r="G48" s="76"/>
      <c r="H48" s="227"/>
      <c r="I48" s="227"/>
      <c r="J48" s="227"/>
      <c r="K48" s="227"/>
      <c r="L48" s="227"/>
      <c r="M48" s="227"/>
      <c r="N48" s="227"/>
      <c r="O48" s="227"/>
      <c r="P48" s="227"/>
      <c r="Q48" s="227"/>
      <c r="R48" s="227"/>
      <c r="S48" s="227"/>
      <c r="T48" s="227"/>
      <c r="U48" s="227"/>
      <c r="V48" s="227"/>
      <c r="W48" s="227"/>
      <c r="X48" s="227"/>
      <c r="Y48" s="227"/>
      <c r="Z48" s="227"/>
    </row>
    <row r="49" spans="1:26">
      <c r="A49" s="26" t="s">
        <v>634</v>
      </c>
      <c r="G49"/>
      <c r="I49"/>
    </row>
    <row r="50" spans="1:26" s="377" customFormat="1" ht="11.25">
      <c r="A50" s="550" t="s">
        <v>248</v>
      </c>
      <c r="B50" s="552" t="s">
        <v>249</v>
      </c>
      <c r="C50" s="558"/>
      <c r="D50" s="558"/>
      <c r="E50" s="559"/>
      <c r="F50" s="552" t="s">
        <v>250</v>
      </c>
      <c r="G50" s="558"/>
      <c r="H50" s="558"/>
      <c r="I50" s="559"/>
    </row>
    <row r="51" spans="1:26" s="377" customFormat="1" ht="12" thickBot="1">
      <c r="A51" s="551"/>
      <c r="B51" s="144">
        <v>2005</v>
      </c>
      <c r="C51" s="145">
        <v>2010</v>
      </c>
      <c r="D51" s="145">
        <v>2020</v>
      </c>
      <c r="E51" s="146">
        <v>2030</v>
      </c>
      <c r="F51" s="144">
        <v>2005</v>
      </c>
      <c r="G51" s="145">
        <v>2010</v>
      </c>
      <c r="H51" s="145">
        <v>2020</v>
      </c>
      <c r="I51" s="146">
        <v>2030</v>
      </c>
    </row>
    <row r="52" spans="1:26">
      <c r="A52" s="400" t="s">
        <v>612</v>
      </c>
      <c r="B52" s="397">
        <v>16158.523809523802</v>
      </c>
      <c r="C52" s="398">
        <v>16069.930732479275</v>
      </c>
      <c r="D52" s="398">
        <v>18813.632704401749</v>
      </c>
      <c r="E52" s="399">
        <v>22212.544231590342</v>
      </c>
      <c r="F52" s="397">
        <v>15626.380952380952</v>
      </c>
      <c r="G52" s="398">
        <v>15529.485719002718</v>
      </c>
      <c r="H52" s="398">
        <v>18159.588382926631</v>
      </c>
      <c r="I52" s="399">
        <v>21431.803399236866</v>
      </c>
    </row>
    <row r="53" spans="1:26">
      <c r="D53">
        <f>(D52-C52)/10</f>
        <v>274.37019719224736</v>
      </c>
      <c r="E53">
        <f>(E52-D52)/10</f>
        <v>339.8911527188593</v>
      </c>
      <c r="H53">
        <f>(H52-G52)/10</f>
        <v>263.01026639239137</v>
      </c>
      <c r="I53">
        <f>(I52-H52)/10</f>
        <v>327.22150163102344</v>
      </c>
    </row>
    <row r="54" spans="1:26">
      <c r="D54" s="125">
        <f>D53/C52</f>
        <v>1.7073514613084921E-2</v>
      </c>
      <c r="E54" s="125">
        <f>E53/D52</f>
        <v>1.8066216028515127E-2</v>
      </c>
      <c r="F54" s="125"/>
      <c r="G54" s="378"/>
      <c r="H54" s="125">
        <f>H53/G52</f>
        <v>1.6936186500404054E-2</v>
      </c>
      <c r="I54" s="125">
        <f>I53/H52</f>
        <v>1.8019213581882292E-2</v>
      </c>
    </row>
    <row r="55" spans="1:26">
      <c r="D55" s="125"/>
      <c r="E55" s="125"/>
      <c r="F55" s="125"/>
      <c r="G55" s="378"/>
      <c r="H55" s="125"/>
      <c r="I55" s="125"/>
    </row>
    <row r="56" spans="1:26">
      <c r="C56" s="75">
        <v>2013</v>
      </c>
      <c r="D56" s="75">
        <v>2014</v>
      </c>
      <c r="E56" s="75">
        <v>2015</v>
      </c>
      <c r="F56" s="75">
        <v>2016</v>
      </c>
      <c r="G56" s="75">
        <v>2017</v>
      </c>
      <c r="H56" s="75">
        <v>2018</v>
      </c>
      <c r="I56" s="75">
        <v>2019</v>
      </c>
      <c r="J56" s="75">
        <v>2020</v>
      </c>
      <c r="K56" s="75">
        <v>2021</v>
      </c>
      <c r="L56" s="75">
        <v>2022</v>
      </c>
      <c r="M56" s="75">
        <v>2023</v>
      </c>
      <c r="N56" s="75">
        <v>2024</v>
      </c>
      <c r="O56" s="75">
        <v>2025</v>
      </c>
      <c r="P56" s="75">
        <v>2026</v>
      </c>
      <c r="Q56" s="75">
        <v>2027</v>
      </c>
      <c r="R56" s="75">
        <v>2028</v>
      </c>
      <c r="S56" s="75">
        <v>2029</v>
      </c>
      <c r="T56" s="75">
        <v>2030</v>
      </c>
      <c r="U56" s="75">
        <v>2031</v>
      </c>
      <c r="V56" s="75">
        <v>2032</v>
      </c>
      <c r="W56" s="75">
        <v>2033</v>
      </c>
      <c r="X56" s="75">
        <v>2034</v>
      </c>
      <c r="Y56" s="75">
        <v>2035</v>
      </c>
      <c r="Z56" s="75">
        <v>2036</v>
      </c>
    </row>
    <row r="57" spans="1:26">
      <c r="C57" s="75" t="s">
        <v>18</v>
      </c>
      <c r="D57" s="72" t="s">
        <v>19</v>
      </c>
      <c r="E57" s="72" t="s">
        <v>20</v>
      </c>
      <c r="F57" s="72" t="s">
        <v>21</v>
      </c>
      <c r="G57" s="72" t="s">
        <v>22</v>
      </c>
      <c r="H57" s="72" t="s">
        <v>23</v>
      </c>
      <c r="I57" s="72" t="s">
        <v>24</v>
      </c>
      <c r="J57" s="72" t="s">
        <v>25</v>
      </c>
      <c r="K57" s="72" t="s">
        <v>26</v>
      </c>
      <c r="L57" s="72" t="s">
        <v>27</v>
      </c>
      <c r="M57" s="72" t="s">
        <v>28</v>
      </c>
      <c r="N57" s="72" t="s">
        <v>29</v>
      </c>
      <c r="O57" s="72" t="s">
        <v>30</v>
      </c>
      <c r="P57" s="72" t="s">
        <v>31</v>
      </c>
      <c r="Q57" s="72" t="s">
        <v>32</v>
      </c>
      <c r="R57" s="72" t="s">
        <v>33</v>
      </c>
      <c r="S57" s="72" t="s">
        <v>34</v>
      </c>
      <c r="T57" s="72" t="s">
        <v>35</v>
      </c>
      <c r="U57" s="72" t="s">
        <v>36</v>
      </c>
      <c r="V57" s="72" t="s">
        <v>123</v>
      </c>
      <c r="W57" s="72" t="s">
        <v>242</v>
      </c>
      <c r="X57" s="72" t="s">
        <v>243</v>
      </c>
      <c r="Y57" s="72" t="s">
        <v>244</v>
      </c>
      <c r="Z57" s="72" t="s">
        <v>245</v>
      </c>
    </row>
    <row r="58" spans="1:26">
      <c r="B58" s="26" t="s">
        <v>252</v>
      </c>
      <c r="C58" s="379">
        <f>$C$52*(1+($D$54*(C56-2010)))+$G$52*(1+($H$54*(C56-2010)))</f>
        <v>33211.55784223591</v>
      </c>
      <c r="D58" s="379">
        <f t="shared" ref="D58:I58" si="17">$C$52*(1+($D$54*(D56-2010)))+$G$52*(1+($H$54*(D56-2010)))</f>
        <v>33748.938305820549</v>
      </c>
      <c r="E58" s="379">
        <f t="shared" si="17"/>
        <v>34286.318769405189</v>
      </c>
      <c r="F58" s="379">
        <f t="shared" si="17"/>
        <v>34823.699232989828</v>
      </c>
      <c r="G58" s="379">
        <f t="shared" si="17"/>
        <v>35361.079696574467</v>
      </c>
      <c r="H58" s="379">
        <f t="shared" si="17"/>
        <v>35898.460160159098</v>
      </c>
      <c r="I58" s="379">
        <f t="shared" si="17"/>
        <v>36435.840623743745</v>
      </c>
      <c r="J58" s="147">
        <f>H52+D52</f>
        <v>36973.221087328377</v>
      </c>
      <c r="K58" s="379">
        <f>$D$52*(1+($E$54*(K56-2020)))+$H$52*(1+($I$54*(K56-2020)))</f>
        <v>37640.33374167826</v>
      </c>
      <c r="L58" s="379">
        <f t="shared" ref="L58:S58" si="18">$D$52*(1+($E$54*(L56-2020)))+$H$52*(1+($I$54*(L56-2020)))</f>
        <v>38307.446396028143</v>
      </c>
      <c r="M58" s="379">
        <f t="shared" si="18"/>
        <v>38974.559050378026</v>
      </c>
      <c r="N58" s="379">
        <f t="shared" si="18"/>
        <v>39641.671704727909</v>
      </c>
      <c r="O58" s="379">
        <f t="shared" si="18"/>
        <v>40308.784359077792</v>
      </c>
      <c r="P58" s="379">
        <f t="shared" si="18"/>
        <v>40975.897013427675</v>
      </c>
      <c r="Q58" s="379">
        <f t="shared" si="18"/>
        <v>41643.009667777558</v>
      </c>
      <c r="R58" s="379">
        <f t="shared" si="18"/>
        <v>42310.122322127441</v>
      </c>
      <c r="S58" s="379">
        <f t="shared" si="18"/>
        <v>42977.234976477324</v>
      </c>
      <c r="T58" s="379">
        <f>I52+E52</f>
        <v>43644.347630827207</v>
      </c>
      <c r="U58" s="379">
        <f>$E$52*(1+($E$54*(U56-2030)))+$I$52*(1+($I$54*(U56-2030)))</f>
        <v>44431.828496353824</v>
      </c>
      <c r="V58" s="379">
        <f t="shared" ref="V58:Z58" si="19">$E$52*(1+($E$54*(V56-2030)))+$I$52*(1+($I$54*(V56-2030)))</f>
        <v>45219.309361880441</v>
      </c>
      <c r="W58" s="379">
        <f t="shared" si="19"/>
        <v>46006.790227407066</v>
      </c>
      <c r="X58" s="379">
        <f t="shared" si="19"/>
        <v>46794.271092933675</v>
      </c>
      <c r="Y58" s="379">
        <f t="shared" si="19"/>
        <v>47581.7519584603</v>
      </c>
      <c r="Z58" s="379">
        <f t="shared" si="19"/>
        <v>48369.232823986924</v>
      </c>
    </row>
    <row r="59" spans="1:26">
      <c r="U59" s="506"/>
    </row>
    <row r="61" spans="1:26" s="155" customFormat="1">
      <c r="A61" s="154" t="s">
        <v>274</v>
      </c>
      <c r="B61" s="154" t="s">
        <v>256</v>
      </c>
      <c r="C61" s="154" t="s">
        <v>257</v>
      </c>
      <c r="D61" s="154" t="s">
        <v>258</v>
      </c>
      <c r="E61" s="154" t="s">
        <v>259</v>
      </c>
      <c r="F61" s="154" t="s">
        <v>260</v>
      </c>
      <c r="G61" s="154" t="s">
        <v>261</v>
      </c>
      <c r="H61" s="154" t="s">
        <v>262</v>
      </c>
      <c r="I61" s="154" t="s">
        <v>263</v>
      </c>
      <c r="J61" s="154" t="s">
        <v>264</v>
      </c>
      <c r="K61" s="154" t="s">
        <v>265</v>
      </c>
      <c r="L61" s="154" t="s">
        <v>266</v>
      </c>
      <c r="M61" s="154" t="s">
        <v>267</v>
      </c>
      <c r="N61" s="154" t="s">
        <v>268</v>
      </c>
      <c r="O61" s="154" t="s">
        <v>269</v>
      </c>
      <c r="P61" s="154" t="s">
        <v>270</v>
      </c>
      <c r="Q61" s="154" t="s">
        <v>271</v>
      </c>
      <c r="R61" s="154" t="s">
        <v>272</v>
      </c>
    </row>
    <row r="62" spans="1:26" s="395" customFormat="1">
      <c r="A62" s="381" t="s">
        <v>613</v>
      </c>
      <c r="B62" s="382">
        <v>17340.389679999895</v>
      </c>
      <c r="C62" s="153"/>
      <c r="D62" s="153"/>
      <c r="E62" s="153">
        <v>185.31263000000001</v>
      </c>
      <c r="F62" s="382">
        <v>1344.7615699999988</v>
      </c>
      <c r="G62" s="382">
        <v>53.474769999999999</v>
      </c>
      <c r="H62" s="382">
        <v>11.179</v>
      </c>
      <c r="I62" s="382">
        <v>551.66061999999988</v>
      </c>
      <c r="J62" s="153"/>
      <c r="K62" s="153"/>
      <c r="L62" s="382">
        <v>1580.2637100000002</v>
      </c>
      <c r="M62" s="382"/>
      <c r="N62" s="382">
        <v>1089.8917999999983</v>
      </c>
      <c r="O62" s="153"/>
      <c r="P62" s="382">
        <v>92.351590000000002</v>
      </c>
      <c r="Q62" s="153"/>
      <c r="R62" s="382">
        <v>12431.493989999899</v>
      </c>
    </row>
    <row r="63" spans="1:26">
      <c r="D63" s="125">
        <f>D62/$B62</f>
        <v>0</v>
      </c>
      <c r="E63" s="125">
        <f>E62/$B62</f>
        <v>1.0686762721009459E-2</v>
      </c>
      <c r="F63" s="125">
        <f t="shared" ref="F63:R63" si="20">F62/$B62</f>
        <v>7.7550827565947E-2</v>
      </c>
      <c r="G63" s="125">
        <f t="shared" si="20"/>
        <v>3.0838274679419039E-3</v>
      </c>
      <c r="H63" s="125">
        <f t="shared" si="20"/>
        <v>6.4467986050473051E-4</v>
      </c>
      <c r="I63" s="125">
        <f t="shared" si="20"/>
        <v>3.1813623002733077E-2</v>
      </c>
      <c r="J63" s="125">
        <f t="shared" si="20"/>
        <v>0</v>
      </c>
      <c r="K63" s="125">
        <f t="shared" si="20"/>
        <v>0</v>
      </c>
      <c r="L63" s="125">
        <f t="shared" si="20"/>
        <v>9.1131960651533048E-2</v>
      </c>
      <c r="M63" s="125">
        <f t="shared" si="20"/>
        <v>0</v>
      </c>
      <c r="N63" s="125">
        <f t="shared" si="20"/>
        <v>6.2852785901176184E-2</v>
      </c>
      <c r="O63" s="125">
        <f t="shared" si="20"/>
        <v>0</v>
      </c>
      <c r="P63" s="125">
        <f t="shared" si="20"/>
        <v>5.3258082260121712E-3</v>
      </c>
      <c r="Q63" s="125">
        <f t="shared" si="20"/>
        <v>0</v>
      </c>
      <c r="R63" s="125">
        <f t="shared" si="20"/>
        <v>0.71690972460314251</v>
      </c>
    </row>
    <row r="64" spans="1:26" ht="15">
      <c r="B64" s="135" t="s">
        <v>273</v>
      </c>
      <c r="G64"/>
      <c r="I64"/>
    </row>
    <row r="65" spans="1:26">
      <c r="C65" s="75">
        <v>2013</v>
      </c>
      <c r="D65" s="75">
        <v>2014</v>
      </c>
      <c r="E65" s="75">
        <v>2015</v>
      </c>
      <c r="F65" s="75">
        <v>2016</v>
      </c>
      <c r="G65" s="75">
        <v>2017</v>
      </c>
      <c r="H65" s="75">
        <v>2018</v>
      </c>
      <c r="I65" s="75">
        <v>2019</v>
      </c>
      <c r="J65" s="75">
        <v>2020</v>
      </c>
      <c r="K65" s="75">
        <v>2021</v>
      </c>
      <c r="L65" s="75">
        <v>2022</v>
      </c>
      <c r="M65" s="75">
        <v>2023</v>
      </c>
      <c r="N65" s="75">
        <v>2024</v>
      </c>
      <c r="O65" s="75">
        <v>2025</v>
      </c>
      <c r="P65" s="75">
        <v>2026</v>
      </c>
      <c r="Q65" s="75">
        <v>2027</v>
      </c>
      <c r="R65" s="75">
        <v>2028</v>
      </c>
      <c r="S65" s="75">
        <v>2029</v>
      </c>
      <c r="T65" s="75">
        <v>2030</v>
      </c>
      <c r="U65" s="75">
        <v>2031</v>
      </c>
      <c r="V65" s="75">
        <v>2032</v>
      </c>
      <c r="W65" s="75">
        <v>2033</v>
      </c>
      <c r="X65" s="75">
        <v>2034</v>
      </c>
      <c r="Y65" s="75">
        <v>2035</v>
      </c>
      <c r="Z65" s="75">
        <v>2036</v>
      </c>
    </row>
    <row r="66" spans="1:26">
      <c r="C66" s="75" t="s">
        <v>18</v>
      </c>
      <c r="D66" s="72" t="s">
        <v>19</v>
      </c>
      <c r="E66" s="72" t="s">
        <v>20</v>
      </c>
      <c r="F66" s="72" t="s">
        <v>21</v>
      </c>
      <c r="G66" s="72" t="s">
        <v>22</v>
      </c>
      <c r="H66" s="72" t="s">
        <v>23</v>
      </c>
      <c r="I66" s="72" t="s">
        <v>24</v>
      </c>
      <c r="J66" s="72" t="s">
        <v>25</v>
      </c>
      <c r="K66" s="72" t="s">
        <v>26</v>
      </c>
      <c r="L66" s="72" t="s">
        <v>27</v>
      </c>
      <c r="M66" s="72" t="s">
        <v>28</v>
      </c>
      <c r="N66" s="72" t="s">
        <v>29</v>
      </c>
      <c r="O66" s="72" t="s">
        <v>30</v>
      </c>
      <c r="P66" s="72" t="s">
        <v>31</v>
      </c>
      <c r="Q66" s="72" t="s">
        <v>32</v>
      </c>
      <c r="R66" s="72" t="s">
        <v>33</v>
      </c>
      <c r="S66" s="72" t="s">
        <v>34</v>
      </c>
      <c r="T66" s="72" t="s">
        <v>35</v>
      </c>
      <c r="U66" s="72" t="s">
        <v>36</v>
      </c>
      <c r="V66" s="72" t="s">
        <v>123</v>
      </c>
      <c r="W66" s="72" t="s">
        <v>242</v>
      </c>
      <c r="X66" s="72" t="s">
        <v>243</v>
      </c>
      <c r="Y66" s="72" t="s">
        <v>244</v>
      </c>
      <c r="Z66" s="72" t="s">
        <v>245</v>
      </c>
    </row>
    <row r="67" spans="1:26">
      <c r="A67" s="130">
        <f>R63</f>
        <v>0.71690972460314251</v>
      </c>
      <c r="B67" t="s">
        <v>125</v>
      </c>
      <c r="C67" s="34">
        <f>C$73*$A67</f>
        <v>23809.688786318686</v>
      </c>
      <c r="D67" s="34">
        <f t="shared" ref="D67:S72" si="21">D$73*$A67</f>
        <v>24194.942066474257</v>
      </c>
      <c r="E67" s="34">
        <f t="shared" si="21"/>
        <v>24580.195346629829</v>
      </c>
      <c r="F67" s="34">
        <f t="shared" si="21"/>
        <v>24965.448626785401</v>
      </c>
      <c r="G67" s="34">
        <f t="shared" si="21"/>
        <v>25350.701906940976</v>
      </c>
      <c r="H67" s="34">
        <f t="shared" si="21"/>
        <v>25735.955187096541</v>
      </c>
      <c r="I67" s="34">
        <f t="shared" si="21"/>
        <v>26121.20846725212</v>
      </c>
      <c r="J67" s="34">
        <f t="shared" si="21"/>
        <v>26506.461747407688</v>
      </c>
      <c r="K67" s="34">
        <f t="shared" si="21"/>
        <v>26984.721296716933</v>
      </c>
      <c r="L67" s="34">
        <f t="shared" si="21"/>
        <v>27462.980846026181</v>
      </c>
      <c r="M67" s="34">
        <f t="shared" si="21"/>
        <v>27941.240395335426</v>
      </c>
      <c r="N67" s="34">
        <f t="shared" si="21"/>
        <v>28419.499944644671</v>
      </c>
      <c r="O67" s="34">
        <f t="shared" si="21"/>
        <v>28897.759493953919</v>
      </c>
      <c r="P67" s="34">
        <f t="shared" si="21"/>
        <v>29376.019043263164</v>
      </c>
      <c r="Q67" s="34">
        <f t="shared" si="21"/>
        <v>29854.278592572409</v>
      </c>
      <c r="R67" s="34">
        <f t="shared" si="21"/>
        <v>30332.538141881658</v>
      </c>
      <c r="S67" s="34">
        <f t="shared" si="21"/>
        <v>30810.797691190903</v>
      </c>
      <c r="T67" s="34">
        <f t="shared" ref="S67:Z72" si="22">T$73*$A67</f>
        <v>31289.057240500148</v>
      </c>
      <c r="U67" s="34">
        <f t="shared" si="22"/>
        <v>31853.609930935079</v>
      </c>
      <c r="V67" s="34">
        <f t="shared" si="22"/>
        <v>32418.162621370011</v>
      </c>
      <c r="W67" s="34">
        <f t="shared" si="22"/>
        <v>32982.715311804946</v>
      </c>
      <c r="X67" s="34">
        <f t="shared" si="22"/>
        <v>33547.268002239871</v>
      </c>
      <c r="Y67" s="34">
        <f t="shared" si="22"/>
        <v>34111.82069267481</v>
      </c>
      <c r="Z67" s="34">
        <f t="shared" si="22"/>
        <v>34676.373383109749</v>
      </c>
    </row>
    <row r="68" spans="1:26">
      <c r="A68" s="130">
        <f>G63</f>
        <v>3.0838274679419039E-3</v>
      </c>
      <c r="B68" t="s">
        <v>222</v>
      </c>
      <c r="C68" s="34">
        <f t="shared" ref="C68:C72" si="23">C$73*$A68</f>
        <v>102.41871432702845</v>
      </c>
      <c r="D68" s="34">
        <f t="shared" si="21"/>
        <v>104.07590296136611</v>
      </c>
      <c r="E68" s="34">
        <f t="shared" si="21"/>
        <v>105.73309159570378</v>
      </c>
      <c r="F68" s="34">
        <f t="shared" si="21"/>
        <v>107.39028023004144</v>
      </c>
      <c r="G68" s="34">
        <f t="shared" si="21"/>
        <v>109.0474688643791</v>
      </c>
      <c r="H68" s="34">
        <f t="shared" si="21"/>
        <v>110.70465749871674</v>
      </c>
      <c r="I68" s="34">
        <f t="shared" si="21"/>
        <v>112.36184613305443</v>
      </c>
      <c r="J68" s="34">
        <f t="shared" si="21"/>
        <v>114.01903476739207</v>
      </c>
      <c r="K68" s="34">
        <f t="shared" si="21"/>
        <v>116.07629509508787</v>
      </c>
      <c r="L68" s="34">
        <f t="shared" si="21"/>
        <v>118.13355542278367</v>
      </c>
      <c r="M68" s="34">
        <f t="shared" si="21"/>
        <v>120.19081575047949</v>
      </c>
      <c r="N68" s="34">
        <f t="shared" si="21"/>
        <v>122.24807607817529</v>
      </c>
      <c r="O68" s="34">
        <f t="shared" si="21"/>
        <v>124.30533640587109</v>
      </c>
      <c r="P68" s="34">
        <f t="shared" si="21"/>
        <v>126.36259673356689</v>
      </c>
      <c r="Q68" s="34">
        <f t="shared" si="21"/>
        <v>128.41985706126269</v>
      </c>
      <c r="R68" s="34">
        <f t="shared" si="21"/>
        <v>130.4771173889585</v>
      </c>
      <c r="S68" s="34">
        <f t="shared" si="22"/>
        <v>132.53437771665429</v>
      </c>
      <c r="T68" s="34">
        <f t="shared" si="22"/>
        <v>134.59163804435011</v>
      </c>
      <c r="U68" s="34">
        <f t="shared" si="22"/>
        <v>137.02009316793973</v>
      </c>
      <c r="V68" s="34">
        <f t="shared" si="22"/>
        <v>139.44854829152939</v>
      </c>
      <c r="W68" s="34">
        <f t="shared" si="22"/>
        <v>141.87700341511905</v>
      </c>
      <c r="X68" s="34">
        <f t="shared" si="22"/>
        <v>144.30545853870868</v>
      </c>
      <c r="Y68" s="34">
        <f t="shared" si="22"/>
        <v>146.73391366229836</v>
      </c>
      <c r="Z68" s="34">
        <f t="shared" si="22"/>
        <v>149.16236878588802</v>
      </c>
    </row>
    <row r="69" spans="1:26">
      <c r="A69" s="130">
        <f>I63</f>
        <v>3.1813623002733077E-2</v>
      </c>
      <c r="B69" s="26" t="s">
        <v>227</v>
      </c>
      <c r="C69" s="34">
        <f t="shared" si="23"/>
        <v>1056.5799805263564</v>
      </c>
      <c r="D69" s="34">
        <f t="shared" si="21"/>
        <v>1073.6760000038721</v>
      </c>
      <c r="E69" s="34">
        <f t="shared" si="21"/>
        <v>1090.7720194813878</v>
      </c>
      <c r="F69" s="34">
        <f t="shared" si="21"/>
        <v>1107.8680389589033</v>
      </c>
      <c r="G69" s="34">
        <f t="shared" si="21"/>
        <v>1124.964058436419</v>
      </c>
      <c r="H69" s="34">
        <f t="shared" si="21"/>
        <v>1142.0600779139345</v>
      </c>
      <c r="I69" s="34">
        <f t="shared" si="21"/>
        <v>1159.1560973914502</v>
      </c>
      <c r="J69" s="34">
        <f t="shared" si="21"/>
        <v>1176.2521168689657</v>
      </c>
      <c r="K69" s="34">
        <f t="shared" si="21"/>
        <v>1197.4753873548054</v>
      </c>
      <c r="L69" s="34">
        <f t="shared" si="21"/>
        <v>1218.6986578406452</v>
      </c>
      <c r="M69" s="34">
        <f t="shared" si="21"/>
        <v>1239.9219283264849</v>
      </c>
      <c r="N69" s="34">
        <f t="shared" si="21"/>
        <v>1261.1451988123247</v>
      </c>
      <c r="O69" s="34">
        <f t="shared" si="21"/>
        <v>1282.3684692981644</v>
      </c>
      <c r="P69" s="34">
        <f t="shared" si="21"/>
        <v>1303.5917397840042</v>
      </c>
      <c r="Q69" s="34">
        <f t="shared" si="21"/>
        <v>1324.8150102698439</v>
      </c>
      <c r="R69" s="34">
        <f t="shared" si="21"/>
        <v>1346.0382807556839</v>
      </c>
      <c r="S69" s="34">
        <f t="shared" si="22"/>
        <v>1367.2615512415236</v>
      </c>
      <c r="T69" s="34">
        <f t="shared" si="22"/>
        <v>1388.4848217273634</v>
      </c>
      <c r="U69" s="34">
        <f t="shared" si="22"/>
        <v>1413.537441105093</v>
      </c>
      <c r="V69" s="34">
        <f t="shared" si="22"/>
        <v>1438.5900604828228</v>
      </c>
      <c r="W69" s="34">
        <f t="shared" si="22"/>
        <v>1463.6426798605528</v>
      </c>
      <c r="X69" s="34">
        <f t="shared" si="22"/>
        <v>1488.6952992382824</v>
      </c>
      <c r="Y69" s="34">
        <f t="shared" si="22"/>
        <v>1513.7479186160122</v>
      </c>
      <c r="Z69" s="34">
        <f t="shared" si="22"/>
        <v>1538.8005379937422</v>
      </c>
    </row>
    <row r="70" spans="1:26">
      <c r="A70" s="130">
        <f>F63</f>
        <v>7.7550827565947E-2</v>
      </c>
      <c r="B70" s="26" t="s">
        <v>228</v>
      </c>
      <c r="C70" s="34">
        <f t="shared" si="23"/>
        <v>2575.5837954197118</v>
      </c>
      <c r="D70" s="34">
        <f t="shared" si="21"/>
        <v>2617.2580950884731</v>
      </c>
      <c r="E70" s="34">
        <f t="shared" si="21"/>
        <v>2658.9323947572339</v>
      </c>
      <c r="F70" s="34">
        <f t="shared" si="21"/>
        <v>2700.6066944259951</v>
      </c>
      <c r="G70" s="34">
        <f t="shared" si="21"/>
        <v>2742.2809940947559</v>
      </c>
      <c r="H70" s="34">
        <f t="shared" si="21"/>
        <v>2783.9552937635162</v>
      </c>
      <c r="I70" s="34">
        <f t="shared" si="21"/>
        <v>2825.6295934322779</v>
      </c>
      <c r="J70" s="34">
        <f t="shared" si="21"/>
        <v>2867.3038931010383</v>
      </c>
      <c r="K70" s="34">
        <f t="shared" si="21"/>
        <v>2919.0390315255872</v>
      </c>
      <c r="L70" s="34">
        <f t="shared" si="21"/>
        <v>2970.7741699501362</v>
      </c>
      <c r="M70" s="34">
        <f t="shared" si="21"/>
        <v>3022.5093083746851</v>
      </c>
      <c r="N70" s="34">
        <f t="shared" si="21"/>
        <v>3074.2444467992345</v>
      </c>
      <c r="O70" s="34">
        <f t="shared" si="21"/>
        <v>3125.9795852237835</v>
      </c>
      <c r="P70" s="34">
        <f t="shared" si="21"/>
        <v>3177.7147236483324</v>
      </c>
      <c r="Q70" s="34">
        <f t="shared" si="21"/>
        <v>3229.4498620728814</v>
      </c>
      <c r="R70" s="34">
        <f t="shared" si="21"/>
        <v>3281.1850004974303</v>
      </c>
      <c r="S70" s="34">
        <f t="shared" si="22"/>
        <v>3332.9201389219793</v>
      </c>
      <c r="T70" s="34">
        <f t="shared" si="22"/>
        <v>3384.6552773465282</v>
      </c>
      <c r="U70" s="34">
        <f t="shared" si="22"/>
        <v>3445.7250701604657</v>
      </c>
      <c r="V70" s="34">
        <f t="shared" si="22"/>
        <v>3506.7948629744028</v>
      </c>
      <c r="W70" s="34">
        <f t="shared" si="22"/>
        <v>3567.8646557883408</v>
      </c>
      <c r="X70" s="34">
        <f t="shared" si="22"/>
        <v>3628.9344486022778</v>
      </c>
      <c r="Y70" s="34">
        <f t="shared" si="22"/>
        <v>3690.0042414162158</v>
      </c>
      <c r="Z70" s="34">
        <f t="shared" si="22"/>
        <v>3751.0740342301538</v>
      </c>
    </row>
    <row r="71" spans="1:26">
      <c r="A71" s="130">
        <f>E63+H63+L63+N63+O63</f>
        <v>0.16531618913422341</v>
      </c>
      <c r="B71" t="s">
        <v>221</v>
      </c>
      <c r="C71" s="34">
        <f t="shared" si="23"/>
        <v>5490.4081776892726</v>
      </c>
      <c r="D71" s="34">
        <f t="shared" si="21"/>
        <v>5579.2458680442678</v>
      </c>
      <c r="E71" s="34">
        <f t="shared" si="21"/>
        <v>5668.0835583992621</v>
      </c>
      <c r="F71" s="34">
        <f t="shared" si="21"/>
        <v>5756.9212487542572</v>
      </c>
      <c r="G71" s="34">
        <f t="shared" si="21"/>
        <v>5845.7589391092515</v>
      </c>
      <c r="H71" s="34">
        <f t="shared" si="21"/>
        <v>5934.5966294642458</v>
      </c>
      <c r="I71" s="34">
        <f t="shared" si="21"/>
        <v>6023.4343198192419</v>
      </c>
      <c r="J71" s="34">
        <f t="shared" si="21"/>
        <v>6112.2720101742352</v>
      </c>
      <c r="K71" s="34">
        <f t="shared" si="21"/>
        <v>6222.5565319145744</v>
      </c>
      <c r="L71" s="34">
        <f t="shared" si="21"/>
        <v>6332.8410536549136</v>
      </c>
      <c r="M71" s="34">
        <f t="shared" si="21"/>
        <v>6443.1255753952528</v>
      </c>
      <c r="N71" s="34">
        <f t="shared" si="21"/>
        <v>6553.410097135592</v>
      </c>
      <c r="O71" s="34">
        <f t="shared" si="21"/>
        <v>6663.6946188759312</v>
      </c>
      <c r="P71" s="34">
        <f t="shared" si="21"/>
        <v>6773.9791406162694</v>
      </c>
      <c r="Q71" s="34">
        <f t="shared" si="21"/>
        <v>6884.2636623566086</v>
      </c>
      <c r="R71" s="34">
        <f t="shared" si="21"/>
        <v>6994.5481840969478</v>
      </c>
      <c r="S71" s="34">
        <f t="shared" si="22"/>
        <v>7104.832705837287</v>
      </c>
      <c r="T71" s="34">
        <f t="shared" si="22"/>
        <v>7215.1172275776262</v>
      </c>
      <c r="U71" s="34">
        <f t="shared" si="22"/>
        <v>7345.3005632826062</v>
      </c>
      <c r="V71" s="34">
        <f t="shared" si="22"/>
        <v>7475.4838989875861</v>
      </c>
      <c r="W71" s="34">
        <f t="shared" si="22"/>
        <v>7605.6672346925679</v>
      </c>
      <c r="X71" s="34">
        <f t="shared" si="22"/>
        <v>7735.850570397547</v>
      </c>
      <c r="Y71" s="34">
        <f t="shared" si="22"/>
        <v>7866.0339061025279</v>
      </c>
      <c r="Z71" s="34">
        <f t="shared" si="22"/>
        <v>7996.2172418075097</v>
      </c>
    </row>
    <row r="72" spans="1:26">
      <c r="A72" s="130">
        <f>P63+Q63+D63</f>
        <v>5.3258082260121712E-3</v>
      </c>
      <c r="B72" s="26" t="s">
        <v>226</v>
      </c>
      <c r="C72" s="34">
        <f t="shared" si="23"/>
        <v>176.87838795485905</v>
      </c>
      <c r="D72" s="34">
        <f t="shared" si="21"/>
        <v>179.74037324831636</v>
      </c>
      <c r="E72" s="34">
        <f t="shared" si="21"/>
        <v>182.60235854177367</v>
      </c>
      <c r="F72" s="34">
        <f t="shared" si="21"/>
        <v>185.46434383523095</v>
      </c>
      <c r="G72" s="34">
        <f t="shared" si="21"/>
        <v>188.32632912868826</v>
      </c>
      <c r="H72" s="34">
        <f t="shared" si="21"/>
        <v>191.18831442214554</v>
      </c>
      <c r="I72" s="34">
        <f t="shared" si="21"/>
        <v>194.05029971560288</v>
      </c>
      <c r="J72" s="34">
        <f t="shared" si="21"/>
        <v>196.91228500906016</v>
      </c>
      <c r="K72" s="34">
        <f t="shared" si="21"/>
        <v>200.46519907127356</v>
      </c>
      <c r="L72" s="34">
        <f t="shared" si="21"/>
        <v>204.01811313348699</v>
      </c>
      <c r="M72" s="34">
        <f t="shared" si="21"/>
        <v>207.5710271957004</v>
      </c>
      <c r="N72" s="34">
        <f t="shared" si="21"/>
        <v>211.12394125791383</v>
      </c>
      <c r="O72" s="34">
        <f t="shared" si="21"/>
        <v>214.67685532012726</v>
      </c>
      <c r="P72" s="34">
        <f t="shared" si="21"/>
        <v>218.22976938234066</v>
      </c>
      <c r="Q72" s="34">
        <f t="shared" si="21"/>
        <v>221.7826834445541</v>
      </c>
      <c r="R72" s="34">
        <f t="shared" si="21"/>
        <v>225.33559750676753</v>
      </c>
      <c r="S72" s="34">
        <f t="shared" si="22"/>
        <v>228.88851156898093</v>
      </c>
      <c r="T72" s="34">
        <f t="shared" si="22"/>
        <v>232.44142563119436</v>
      </c>
      <c r="U72" s="34">
        <f t="shared" si="22"/>
        <v>236.63539770264319</v>
      </c>
      <c r="V72" s="34">
        <f t="shared" si="22"/>
        <v>240.82936977409204</v>
      </c>
      <c r="W72" s="34">
        <f t="shared" si="22"/>
        <v>245.02334184554093</v>
      </c>
      <c r="X72" s="34">
        <f t="shared" si="22"/>
        <v>249.21731391698972</v>
      </c>
      <c r="Y72" s="34">
        <f t="shared" si="22"/>
        <v>253.41128598843861</v>
      </c>
      <c r="Z72" s="34">
        <f t="shared" si="22"/>
        <v>257.60525805988749</v>
      </c>
    </row>
    <row r="73" spans="1:26">
      <c r="A73" s="130">
        <f>SUM(A67:A72)</f>
        <v>1</v>
      </c>
      <c r="B73" s="53"/>
      <c r="C73" s="34">
        <f>C$58*$A73</f>
        <v>33211.55784223591</v>
      </c>
      <c r="D73" s="34">
        <f t="shared" ref="D73:Z73" si="24">D$58*$A73</f>
        <v>33748.938305820549</v>
      </c>
      <c r="E73" s="34">
        <f t="shared" si="24"/>
        <v>34286.318769405189</v>
      </c>
      <c r="F73" s="34">
        <f t="shared" si="24"/>
        <v>34823.699232989828</v>
      </c>
      <c r="G73" s="34">
        <f t="shared" si="24"/>
        <v>35361.079696574467</v>
      </c>
      <c r="H73" s="34">
        <f t="shared" si="24"/>
        <v>35898.460160159098</v>
      </c>
      <c r="I73" s="34">
        <f t="shared" si="24"/>
        <v>36435.840623743745</v>
      </c>
      <c r="J73" s="34">
        <f t="shared" si="24"/>
        <v>36973.221087328377</v>
      </c>
      <c r="K73" s="34">
        <f t="shared" si="24"/>
        <v>37640.33374167826</v>
      </c>
      <c r="L73" s="34">
        <f t="shared" si="24"/>
        <v>38307.446396028143</v>
      </c>
      <c r="M73" s="34">
        <f t="shared" si="24"/>
        <v>38974.559050378026</v>
      </c>
      <c r="N73" s="34">
        <f t="shared" si="24"/>
        <v>39641.671704727909</v>
      </c>
      <c r="O73" s="34">
        <f t="shared" si="24"/>
        <v>40308.784359077792</v>
      </c>
      <c r="P73" s="34">
        <f t="shared" si="24"/>
        <v>40975.897013427675</v>
      </c>
      <c r="Q73" s="34">
        <f t="shared" si="24"/>
        <v>41643.009667777558</v>
      </c>
      <c r="R73" s="34">
        <f t="shared" si="24"/>
        <v>42310.122322127441</v>
      </c>
      <c r="S73" s="34">
        <f t="shared" si="24"/>
        <v>42977.234976477324</v>
      </c>
      <c r="T73" s="34">
        <f t="shared" si="24"/>
        <v>43644.347630827207</v>
      </c>
      <c r="U73" s="34">
        <f t="shared" si="24"/>
        <v>44431.828496353824</v>
      </c>
      <c r="V73" s="34">
        <f t="shared" si="24"/>
        <v>45219.309361880441</v>
      </c>
      <c r="W73" s="34">
        <f t="shared" si="24"/>
        <v>46006.790227407066</v>
      </c>
      <c r="X73" s="34">
        <f t="shared" si="24"/>
        <v>46794.271092933675</v>
      </c>
      <c r="Y73" s="34">
        <f t="shared" si="24"/>
        <v>47581.7519584603</v>
      </c>
      <c r="Z73" s="34">
        <f t="shared" si="24"/>
        <v>48369.232823986924</v>
      </c>
    </row>
    <row r="74" spans="1:26">
      <c r="A74" s="130"/>
      <c r="B74" s="53"/>
      <c r="C74" s="34"/>
      <c r="D74" s="34"/>
      <c r="E74" s="34"/>
      <c r="F74" s="34"/>
      <c r="G74" s="34"/>
      <c r="H74" s="34"/>
      <c r="I74" s="34"/>
      <c r="J74" s="34"/>
      <c r="K74" s="34"/>
      <c r="L74" s="34"/>
      <c r="M74" s="34"/>
      <c r="N74" s="34"/>
      <c r="O74" s="34"/>
      <c r="P74" s="34"/>
      <c r="Q74" s="34"/>
      <c r="R74" s="34"/>
      <c r="S74" s="34"/>
      <c r="T74" s="34"/>
      <c r="U74" s="34"/>
      <c r="V74" s="34"/>
      <c r="W74" s="34"/>
      <c r="X74" s="34"/>
      <c r="Y74" s="34"/>
      <c r="Z74" s="34"/>
    </row>
    <row r="75" spans="1:26">
      <c r="A75" s="5" t="s">
        <v>351</v>
      </c>
    </row>
    <row r="76" spans="1:26">
      <c r="A76" s="26" t="s">
        <v>392</v>
      </c>
      <c r="B76" s="26" t="s">
        <v>566</v>
      </c>
      <c r="G76"/>
      <c r="I76"/>
    </row>
    <row r="77" spans="1:26">
      <c r="B77" s="525">
        <v>0.17899999999999999</v>
      </c>
      <c r="C77" s="527">
        <f>C67*B77</f>
        <v>4261.9342927510443</v>
      </c>
      <c r="G77"/>
      <c r="I77"/>
    </row>
    <row r="78" spans="1:26">
      <c r="B78" s="26" t="s">
        <v>635</v>
      </c>
      <c r="G78"/>
      <c r="I78"/>
    </row>
    <row r="79" spans="1:26">
      <c r="B79" s="25"/>
      <c r="G79"/>
      <c r="I79"/>
    </row>
    <row r="80" spans="1:26">
      <c r="A80" s="26" t="s">
        <v>350</v>
      </c>
      <c r="B80" s="26" t="s">
        <v>395</v>
      </c>
      <c r="G80"/>
      <c r="I80"/>
    </row>
    <row r="81" spans="1:26">
      <c r="B81" s="230">
        <v>300</v>
      </c>
      <c r="C81" s="327">
        <f t="shared" ref="C81:Z81" si="25">$B$77*C67*$B$81</f>
        <v>1278580.2878253134</v>
      </c>
      <c r="D81" s="327">
        <f t="shared" si="25"/>
        <v>1299268.3889696677</v>
      </c>
      <c r="E81" s="327">
        <f t="shared" si="25"/>
        <v>1319956.4901140218</v>
      </c>
      <c r="F81" s="327">
        <f t="shared" si="25"/>
        <v>1340644.5912583759</v>
      </c>
      <c r="G81" s="327">
        <f t="shared" si="25"/>
        <v>1361332.6924027305</v>
      </c>
      <c r="H81" s="327">
        <f t="shared" si="25"/>
        <v>1382020.7935470843</v>
      </c>
      <c r="I81" s="327">
        <f t="shared" si="25"/>
        <v>1402708.8946914386</v>
      </c>
      <c r="J81" s="327">
        <f t="shared" si="25"/>
        <v>1423396.9958357927</v>
      </c>
      <c r="K81" s="327">
        <f t="shared" si="25"/>
        <v>1449079.5336336992</v>
      </c>
      <c r="L81" s="327">
        <f t="shared" si="25"/>
        <v>1474762.0714316056</v>
      </c>
      <c r="M81" s="327">
        <f t="shared" si="25"/>
        <v>1500444.6092295123</v>
      </c>
      <c r="N81" s="327">
        <f t="shared" si="25"/>
        <v>1526127.1470274187</v>
      </c>
      <c r="O81" s="327">
        <f t="shared" si="25"/>
        <v>1551809.6848253254</v>
      </c>
      <c r="P81" s="327">
        <f t="shared" si="25"/>
        <v>1577492.2226232318</v>
      </c>
      <c r="Q81" s="327">
        <f t="shared" si="25"/>
        <v>1603174.7604211385</v>
      </c>
      <c r="R81" s="327">
        <f t="shared" si="25"/>
        <v>1628857.2982190449</v>
      </c>
      <c r="S81" s="327">
        <f t="shared" si="25"/>
        <v>1654539.8360169514</v>
      </c>
      <c r="T81" s="327">
        <f t="shared" si="25"/>
        <v>1680222.3738148578</v>
      </c>
      <c r="U81" s="327">
        <f t="shared" si="25"/>
        <v>1710538.8532912135</v>
      </c>
      <c r="V81" s="327">
        <f t="shared" si="25"/>
        <v>1740855.3327675697</v>
      </c>
      <c r="W81" s="327">
        <f t="shared" si="25"/>
        <v>1771171.8122439256</v>
      </c>
      <c r="X81" s="327">
        <f t="shared" si="25"/>
        <v>1801488.2917202811</v>
      </c>
      <c r="Y81" s="327">
        <f t="shared" si="25"/>
        <v>1831804.7711966371</v>
      </c>
      <c r="Z81" s="327">
        <f t="shared" si="25"/>
        <v>1862121.2506729935</v>
      </c>
    </row>
    <row r="82" spans="1:26">
      <c r="A82" s="26" t="s">
        <v>396</v>
      </c>
      <c r="G82"/>
      <c r="I82"/>
    </row>
    <row r="83" spans="1:26">
      <c r="A83" s="229">
        <v>0.01</v>
      </c>
      <c r="B83" s="54" t="s">
        <v>409</v>
      </c>
      <c r="D83" s="189">
        <f t="shared" ref="D83" si="26">D81*$A$83</f>
        <v>12992.683889696678</v>
      </c>
      <c r="E83" s="189">
        <f t="shared" ref="E83:Z83" si="27">E81*$A$83</f>
        <v>13199.564901140218</v>
      </c>
      <c r="F83" s="189">
        <f t="shared" si="27"/>
        <v>13406.44591258376</v>
      </c>
      <c r="G83" s="189">
        <f t="shared" si="27"/>
        <v>13613.326924027306</v>
      </c>
      <c r="H83" s="189">
        <f t="shared" si="27"/>
        <v>13820.207935470844</v>
      </c>
      <c r="I83" s="189">
        <f t="shared" si="27"/>
        <v>14027.088946914388</v>
      </c>
      <c r="J83" s="189">
        <f t="shared" si="27"/>
        <v>14233.969958357928</v>
      </c>
      <c r="K83" s="189">
        <f t="shared" si="27"/>
        <v>14490.795336336992</v>
      </c>
      <c r="L83" s="189">
        <f t="shared" si="27"/>
        <v>14747.620714316057</v>
      </c>
      <c r="M83" s="189">
        <f t="shared" si="27"/>
        <v>15004.446092295124</v>
      </c>
      <c r="N83" s="189">
        <f t="shared" si="27"/>
        <v>15261.271470274187</v>
      </c>
      <c r="O83" s="189">
        <f t="shared" si="27"/>
        <v>15518.096848253253</v>
      </c>
      <c r="P83" s="189">
        <f t="shared" si="27"/>
        <v>15774.922226232318</v>
      </c>
      <c r="Q83" s="189">
        <f t="shared" si="27"/>
        <v>16031.747604211385</v>
      </c>
      <c r="R83" s="189">
        <f t="shared" si="27"/>
        <v>16288.57298219045</v>
      </c>
      <c r="S83" s="189">
        <f t="shared" si="27"/>
        <v>16545.398360169514</v>
      </c>
      <c r="T83" s="189">
        <f t="shared" si="27"/>
        <v>16802.223738148579</v>
      </c>
      <c r="U83" s="189">
        <f t="shared" si="27"/>
        <v>17105.388532912137</v>
      </c>
      <c r="V83" s="189">
        <f t="shared" si="27"/>
        <v>17408.553327675698</v>
      </c>
      <c r="W83" s="189">
        <f t="shared" si="27"/>
        <v>17711.718122439255</v>
      </c>
      <c r="X83" s="189">
        <f t="shared" si="27"/>
        <v>18014.882917202813</v>
      </c>
      <c r="Y83" s="189">
        <f t="shared" si="27"/>
        <v>18318.04771196637</v>
      </c>
      <c r="Z83" s="189">
        <f t="shared" si="27"/>
        <v>18621.212506729935</v>
      </c>
    </row>
    <row r="84" spans="1:26">
      <c r="A84" s="229">
        <v>0.02</v>
      </c>
      <c r="B84" s="78" t="s">
        <v>402</v>
      </c>
      <c r="D84" s="189">
        <f t="shared" ref="D84" si="28">D81*$A$84</f>
        <v>25985.367779393357</v>
      </c>
      <c r="E84" s="189">
        <f t="shared" ref="E84:Z84" si="29">E81*$A$84</f>
        <v>26399.129802280437</v>
      </c>
      <c r="F84" s="189">
        <f t="shared" si="29"/>
        <v>26812.89182516752</v>
      </c>
      <c r="G84" s="189">
        <f t="shared" si="29"/>
        <v>27226.653848054611</v>
      </c>
      <c r="H84" s="189">
        <f t="shared" si="29"/>
        <v>27640.415870941688</v>
      </c>
      <c r="I84" s="189">
        <f t="shared" si="29"/>
        <v>28054.177893828775</v>
      </c>
      <c r="J84" s="189">
        <f t="shared" si="29"/>
        <v>28467.939916715855</v>
      </c>
      <c r="K84" s="189">
        <f t="shared" si="29"/>
        <v>28981.590672673985</v>
      </c>
      <c r="L84" s="189">
        <f t="shared" si="29"/>
        <v>29495.241428632115</v>
      </c>
      <c r="M84" s="189">
        <f t="shared" si="29"/>
        <v>30008.892184590248</v>
      </c>
      <c r="N84" s="189">
        <f t="shared" si="29"/>
        <v>30522.542940548374</v>
      </c>
      <c r="O84" s="189">
        <f t="shared" si="29"/>
        <v>31036.193696506507</v>
      </c>
      <c r="P84" s="189">
        <f t="shared" si="29"/>
        <v>31549.844452464637</v>
      </c>
      <c r="Q84" s="189">
        <f t="shared" si="29"/>
        <v>32063.49520842277</v>
      </c>
      <c r="R84" s="189">
        <f t="shared" si="29"/>
        <v>32577.145964380899</v>
      </c>
      <c r="S84" s="189">
        <f t="shared" si="29"/>
        <v>33090.796720339029</v>
      </c>
      <c r="T84" s="189">
        <f t="shared" si="29"/>
        <v>33604.447476297159</v>
      </c>
      <c r="U84" s="189">
        <f t="shared" si="29"/>
        <v>34210.777065824273</v>
      </c>
      <c r="V84" s="189">
        <f t="shared" si="29"/>
        <v>34817.106655351396</v>
      </c>
      <c r="W84" s="189">
        <f t="shared" si="29"/>
        <v>35423.43624487851</v>
      </c>
      <c r="X84" s="189">
        <f t="shared" si="29"/>
        <v>36029.765834405625</v>
      </c>
      <c r="Y84" s="189">
        <f t="shared" si="29"/>
        <v>36636.09542393274</v>
      </c>
      <c r="Z84" s="189">
        <f t="shared" si="29"/>
        <v>37242.42501345987</v>
      </c>
    </row>
    <row r="88" spans="1:26">
      <c r="A88" s="5" t="s">
        <v>261</v>
      </c>
    </row>
    <row r="89" spans="1:26">
      <c r="A89" s="26" t="s">
        <v>636</v>
      </c>
      <c r="B89" s="26" t="s">
        <v>566</v>
      </c>
    </row>
    <row r="90" spans="1:26">
      <c r="B90" s="525">
        <v>22.5</v>
      </c>
      <c r="C90" s="527">
        <f>C68*B90</f>
        <v>2304.42107235814</v>
      </c>
    </row>
    <row r="91" spans="1:26">
      <c r="A91" s="70"/>
      <c r="B91" s="26" t="s">
        <v>635</v>
      </c>
      <c r="G91"/>
      <c r="I91"/>
    </row>
    <row r="92" spans="1:26">
      <c r="G92"/>
      <c r="I92"/>
    </row>
    <row r="93" spans="1:26">
      <c r="A93" s="70" t="s">
        <v>350</v>
      </c>
      <c r="B93" s="26" t="s">
        <v>395</v>
      </c>
      <c r="C93" s="189"/>
      <c r="D93" s="189"/>
      <c r="E93" s="189"/>
      <c r="F93" s="189"/>
      <c r="G93" s="189"/>
      <c r="H93" s="189"/>
      <c r="I93" s="189"/>
      <c r="J93" s="189"/>
      <c r="K93" s="189"/>
      <c r="L93" s="189"/>
      <c r="M93" s="189"/>
      <c r="N93" s="189"/>
      <c r="O93" s="189"/>
      <c r="P93" s="189"/>
      <c r="Q93" s="189"/>
      <c r="R93" s="189"/>
      <c r="S93" s="189"/>
      <c r="T93" s="189"/>
      <c r="U93" s="189"/>
      <c r="V93" s="189"/>
      <c r="W93" s="189"/>
      <c r="X93" s="189"/>
      <c r="Y93" s="189"/>
      <c r="Z93" s="189"/>
    </row>
    <row r="94" spans="1:26">
      <c r="A94" s="70"/>
      <c r="B94" s="230">
        <v>300</v>
      </c>
      <c r="C94" s="327">
        <f t="shared" ref="C94:Z94" si="30">$B94*$B90*C68</f>
        <v>691326.32170744205</v>
      </c>
      <c r="D94" s="327">
        <f t="shared" si="30"/>
        <v>702512.34498922119</v>
      </c>
      <c r="E94" s="327">
        <f t="shared" si="30"/>
        <v>713698.36827100057</v>
      </c>
      <c r="F94" s="327">
        <f t="shared" si="30"/>
        <v>724884.39155277971</v>
      </c>
      <c r="G94" s="327">
        <f t="shared" si="30"/>
        <v>736070.41483455896</v>
      </c>
      <c r="H94" s="327">
        <f t="shared" si="30"/>
        <v>747256.43811633799</v>
      </c>
      <c r="I94" s="327">
        <f t="shared" si="30"/>
        <v>758442.46139811736</v>
      </c>
      <c r="J94" s="327">
        <f t="shared" si="30"/>
        <v>769628.4846798965</v>
      </c>
      <c r="K94" s="327">
        <f t="shared" si="30"/>
        <v>783514.99189184315</v>
      </c>
      <c r="L94" s="327">
        <f t="shared" si="30"/>
        <v>797401.4991037898</v>
      </c>
      <c r="M94" s="327">
        <f t="shared" si="30"/>
        <v>811288.00631573657</v>
      </c>
      <c r="N94" s="327">
        <f t="shared" si="30"/>
        <v>825174.51352768322</v>
      </c>
      <c r="O94" s="327">
        <f t="shared" si="30"/>
        <v>839061.02073962986</v>
      </c>
      <c r="P94" s="327">
        <f t="shared" si="30"/>
        <v>852947.52795157651</v>
      </c>
      <c r="Q94" s="327">
        <f t="shared" si="30"/>
        <v>866834.03516352316</v>
      </c>
      <c r="R94" s="327">
        <f t="shared" si="30"/>
        <v>880720.54237546993</v>
      </c>
      <c r="S94" s="327">
        <f t="shared" si="30"/>
        <v>894607.04958741646</v>
      </c>
      <c r="T94" s="327">
        <f t="shared" si="30"/>
        <v>908493.55679936323</v>
      </c>
      <c r="U94" s="327">
        <f t="shared" si="30"/>
        <v>924885.62888359325</v>
      </c>
      <c r="V94" s="327">
        <f t="shared" si="30"/>
        <v>941277.70096782339</v>
      </c>
      <c r="W94" s="327">
        <f t="shared" si="30"/>
        <v>957669.77305205353</v>
      </c>
      <c r="X94" s="327">
        <f t="shared" si="30"/>
        <v>974061.84513628355</v>
      </c>
      <c r="Y94" s="327">
        <f t="shared" si="30"/>
        <v>990453.91722051392</v>
      </c>
      <c r="Z94" s="327">
        <f t="shared" si="30"/>
        <v>1006845.9893047442</v>
      </c>
    </row>
    <row r="95" spans="1:26">
      <c r="A95" s="26" t="s">
        <v>396</v>
      </c>
      <c r="B95" s="25"/>
      <c r="C95" s="327"/>
      <c r="D95" s="327"/>
      <c r="E95" s="327"/>
      <c r="F95" s="327"/>
      <c r="G95" s="327"/>
      <c r="H95" s="327"/>
      <c r="I95" s="327"/>
      <c r="J95" s="327"/>
      <c r="K95" s="327"/>
      <c r="L95" s="327"/>
      <c r="M95" s="327"/>
      <c r="N95" s="327"/>
      <c r="O95" s="327"/>
      <c r="P95" s="327"/>
      <c r="Q95" s="327"/>
      <c r="R95" s="327"/>
      <c r="S95" s="327"/>
      <c r="T95" s="327"/>
      <c r="U95" s="327"/>
      <c r="V95" s="327"/>
      <c r="W95" s="327"/>
      <c r="X95" s="327"/>
      <c r="Y95" s="327"/>
      <c r="Z95" s="327"/>
    </row>
    <row r="96" spans="1:26">
      <c r="A96" s="504">
        <v>2.5000000000000001E-2</v>
      </c>
      <c r="B96" s="54" t="s">
        <v>417</v>
      </c>
      <c r="D96" s="189">
        <f>D94*$A$96</f>
        <v>17562.808624730529</v>
      </c>
      <c r="E96" s="189">
        <f>E94*$A$96</f>
        <v>17842.459206775016</v>
      </c>
      <c r="F96" s="189">
        <f t="shared" ref="F96:Z96" si="31">F94*$A$96</f>
        <v>18122.109788819493</v>
      </c>
      <c r="G96" s="189">
        <f t="shared" si="31"/>
        <v>18401.760370863976</v>
      </c>
      <c r="H96" s="189">
        <f t="shared" si="31"/>
        <v>18681.410952908449</v>
      </c>
      <c r="I96" s="189">
        <f t="shared" si="31"/>
        <v>18961.061534952936</v>
      </c>
      <c r="J96" s="189">
        <f t="shared" si="31"/>
        <v>19240.712116997413</v>
      </c>
      <c r="K96" s="189">
        <f t="shared" si="31"/>
        <v>19587.874797296081</v>
      </c>
      <c r="L96" s="189">
        <f t="shared" si="31"/>
        <v>19935.037477594746</v>
      </c>
      <c r="M96" s="189">
        <f t="shared" si="31"/>
        <v>20282.200157893414</v>
      </c>
      <c r="N96" s="189">
        <f t="shared" si="31"/>
        <v>20629.362838192083</v>
      </c>
      <c r="O96" s="189">
        <f t="shared" si="31"/>
        <v>20976.525518490747</v>
      </c>
      <c r="P96" s="189">
        <f t="shared" si="31"/>
        <v>21323.688198789416</v>
      </c>
      <c r="Q96" s="189">
        <f t="shared" si="31"/>
        <v>21670.850879088081</v>
      </c>
      <c r="R96" s="189">
        <f t="shared" si="31"/>
        <v>22018.013559386749</v>
      </c>
      <c r="S96" s="189">
        <f t="shared" si="31"/>
        <v>22365.176239685414</v>
      </c>
      <c r="T96" s="189">
        <f t="shared" si="31"/>
        <v>22712.338919984082</v>
      </c>
      <c r="U96" s="189">
        <f t="shared" si="31"/>
        <v>23122.140722089833</v>
      </c>
      <c r="V96" s="189">
        <f t="shared" si="31"/>
        <v>23531.942524195587</v>
      </c>
      <c r="W96" s="189">
        <f t="shared" si="31"/>
        <v>23941.744326301341</v>
      </c>
      <c r="X96" s="189">
        <f t="shared" si="31"/>
        <v>24351.546128407092</v>
      </c>
      <c r="Y96" s="189">
        <f t="shared" si="31"/>
        <v>24761.347930512849</v>
      </c>
      <c r="Z96" s="189">
        <f t="shared" si="31"/>
        <v>25171.149732618607</v>
      </c>
    </row>
    <row r="97" spans="1:26">
      <c r="A97" s="504">
        <v>2.5000000000000001E-2</v>
      </c>
      <c r="B97" s="78" t="s">
        <v>411</v>
      </c>
      <c r="D97" s="189">
        <f>D94*$A$97</f>
        <v>17562.808624730529</v>
      </c>
      <c r="E97" s="189">
        <f>E94*$A$97</f>
        <v>17842.459206775016</v>
      </c>
      <c r="F97" s="189">
        <f t="shared" ref="F97:Z97" si="32">F94*$A$97</f>
        <v>18122.109788819493</v>
      </c>
      <c r="G97" s="189">
        <f t="shared" si="32"/>
        <v>18401.760370863976</v>
      </c>
      <c r="H97" s="189">
        <f t="shared" si="32"/>
        <v>18681.410952908449</v>
      </c>
      <c r="I97" s="189">
        <f t="shared" si="32"/>
        <v>18961.061534952936</v>
      </c>
      <c r="J97" s="189">
        <f t="shared" si="32"/>
        <v>19240.712116997413</v>
      </c>
      <c r="K97" s="189">
        <f t="shared" si="32"/>
        <v>19587.874797296081</v>
      </c>
      <c r="L97" s="189">
        <f t="shared" si="32"/>
        <v>19935.037477594746</v>
      </c>
      <c r="M97" s="189">
        <f t="shared" si="32"/>
        <v>20282.200157893414</v>
      </c>
      <c r="N97" s="189">
        <f t="shared" si="32"/>
        <v>20629.362838192083</v>
      </c>
      <c r="O97" s="189">
        <f t="shared" si="32"/>
        <v>20976.525518490747</v>
      </c>
      <c r="P97" s="189">
        <f t="shared" si="32"/>
        <v>21323.688198789416</v>
      </c>
      <c r="Q97" s="189">
        <f t="shared" si="32"/>
        <v>21670.850879088081</v>
      </c>
      <c r="R97" s="189">
        <f t="shared" si="32"/>
        <v>22018.013559386749</v>
      </c>
      <c r="S97" s="189">
        <f t="shared" si="32"/>
        <v>22365.176239685414</v>
      </c>
      <c r="T97" s="189">
        <f t="shared" si="32"/>
        <v>22712.338919984082</v>
      </c>
      <c r="U97" s="189">
        <f t="shared" si="32"/>
        <v>23122.140722089833</v>
      </c>
      <c r="V97" s="189">
        <f t="shared" si="32"/>
        <v>23531.942524195587</v>
      </c>
      <c r="W97" s="189">
        <f t="shared" si="32"/>
        <v>23941.744326301341</v>
      </c>
      <c r="X97" s="189">
        <f t="shared" si="32"/>
        <v>24351.546128407092</v>
      </c>
      <c r="Y97" s="189">
        <f t="shared" si="32"/>
        <v>24761.347930512849</v>
      </c>
      <c r="Z97" s="189">
        <f t="shared" si="32"/>
        <v>25171.149732618607</v>
      </c>
    </row>
  </sheetData>
  <mergeCells count="3">
    <mergeCell ref="A50:A51"/>
    <mergeCell ref="B50:E50"/>
    <mergeCell ref="F50:I50"/>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BA254"/>
  <sheetViews>
    <sheetView topLeftCell="A52" zoomScale="75" zoomScaleNormal="75" workbookViewId="0"/>
  </sheetViews>
  <sheetFormatPr defaultRowHeight="12.75"/>
  <cols>
    <col min="1" max="1" width="18.28515625" customWidth="1"/>
    <col min="2" max="2" width="23.140625" customWidth="1"/>
    <col min="3" max="3" width="52.140625" style="53" customWidth="1"/>
    <col min="4" max="4" width="12.5703125" customWidth="1"/>
    <col min="5" max="5" width="14" style="25" bestFit="1" customWidth="1"/>
    <col min="6" max="6" width="13.42578125" style="25" customWidth="1"/>
    <col min="7" max="7" width="17" style="76" bestFit="1" customWidth="1"/>
    <col min="8" max="8" width="17.7109375" bestFit="1" customWidth="1"/>
    <col min="9" max="29" width="13.85546875" customWidth="1"/>
    <col min="30" max="30" width="15.28515625" style="335" customWidth="1"/>
    <col min="33" max="33" width="14.28515625" customWidth="1"/>
    <col min="34" max="34" width="12.140625" bestFit="1" customWidth="1"/>
    <col min="35" max="35" width="11.140625" bestFit="1" customWidth="1"/>
  </cols>
  <sheetData>
    <row r="1" spans="1:33"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3"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334"/>
    </row>
    <row r="3" spans="1:33">
      <c r="A3" s="69"/>
      <c r="B3" s="69"/>
      <c r="D3" s="206"/>
      <c r="E3" s="215"/>
      <c r="AC3" s="261"/>
    </row>
    <row r="4" spans="1:33">
      <c r="A4" s="41"/>
      <c r="B4" s="41"/>
      <c r="C4" s="45"/>
      <c r="D4" s="207"/>
      <c r="E4" s="215"/>
      <c r="AC4" s="261"/>
    </row>
    <row r="5" spans="1:33">
      <c r="A5" s="44" t="s">
        <v>218</v>
      </c>
      <c r="B5" s="44"/>
      <c r="C5" s="55" t="s">
        <v>389</v>
      </c>
      <c r="D5" s="207"/>
      <c r="E5" s="215"/>
      <c r="F5" s="292"/>
      <c r="G5" s="292"/>
      <c r="H5" s="292"/>
      <c r="I5" s="292"/>
      <c r="J5" s="292"/>
      <c r="K5" s="292"/>
      <c r="L5" s="292"/>
      <c r="M5" s="292"/>
      <c r="N5" s="292"/>
      <c r="O5" s="292"/>
      <c r="P5" s="292"/>
      <c r="Q5" s="292"/>
      <c r="R5" s="292"/>
      <c r="S5" s="292"/>
      <c r="T5" s="292"/>
      <c r="U5" s="292"/>
      <c r="V5" s="292"/>
      <c r="W5" s="292"/>
      <c r="X5" s="292"/>
      <c r="Y5" s="292"/>
      <c r="Z5" s="292"/>
      <c r="AA5" s="292"/>
      <c r="AB5" s="292"/>
      <c r="AC5" s="383"/>
      <c r="AD5" s="336"/>
    </row>
    <row r="6" spans="1:33">
      <c r="A6" s="44"/>
      <c r="B6" s="44"/>
      <c r="C6" s="55" t="s">
        <v>388</v>
      </c>
      <c r="D6" s="207"/>
      <c r="E6" s="215"/>
      <c r="F6" s="292">
        <v>-37500</v>
      </c>
      <c r="G6" s="292">
        <v>-672750</v>
      </c>
      <c r="I6" s="292"/>
      <c r="K6" s="292"/>
      <c r="L6" s="292"/>
      <c r="M6" s="292"/>
      <c r="N6" s="292"/>
      <c r="O6" s="292"/>
      <c r="P6" s="292"/>
      <c r="Q6" s="292"/>
      <c r="R6" s="292"/>
      <c r="S6" s="292"/>
      <c r="T6" s="292"/>
      <c r="U6" s="292"/>
      <c r="V6" s="292"/>
      <c r="W6" s="292"/>
      <c r="X6" s="292"/>
      <c r="Y6" s="292"/>
      <c r="Z6" s="292"/>
      <c r="AA6" s="292"/>
      <c r="AB6" s="292"/>
      <c r="AC6" s="383"/>
      <c r="AD6" s="336"/>
    </row>
    <row r="7" spans="1:33"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37"/>
    </row>
    <row r="8" spans="1:33" s="53" customFormat="1" ht="12">
      <c r="A8" s="58" t="s">
        <v>219</v>
      </c>
      <c r="B8" s="58"/>
      <c r="D8" s="209"/>
      <c r="E8" s="216"/>
      <c r="H8" s="59"/>
      <c r="I8" s="59"/>
      <c r="J8" s="59"/>
      <c r="K8" s="59"/>
      <c r="L8" s="59"/>
      <c r="M8" s="59"/>
      <c r="N8" s="59"/>
      <c r="O8" s="59"/>
      <c r="P8" s="59"/>
      <c r="Q8" s="59"/>
      <c r="R8" s="59"/>
      <c r="S8" s="59"/>
      <c r="T8" s="59"/>
      <c r="U8" s="59"/>
      <c r="V8" s="59"/>
      <c r="W8" s="59"/>
      <c r="X8" s="59"/>
      <c r="Y8" s="59"/>
      <c r="AC8" s="263"/>
      <c r="AD8" s="338"/>
    </row>
    <row r="9" spans="1:33" s="53" customFormat="1" ht="12">
      <c r="A9" s="58"/>
      <c r="B9" s="5" t="s">
        <v>351</v>
      </c>
      <c r="D9" s="209"/>
      <c r="E9" s="216"/>
      <c r="H9" s="380"/>
      <c r="AC9" s="263"/>
      <c r="AD9" s="338"/>
    </row>
    <row r="10" spans="1:33" s="53" customFormat="1" ht="12">
      <c r="A10" s="58"/>
      <c r="B10" s="70" t="s">
        <v>447</v>
      </c>
      <c r="C10" s="70" t="s">
        <v>350</v>
      </c>
      <c r="D10" s="209"/>
      <c r="E10" s="216"/>
      <c r="F10" s="59">
        <f>'WH Users'!C5</f>
        <v>0</v>
      </c>
      <c r="G10" s="59">
        <f>'WH Users'!D5</f>
        <v>52683.038241315517</v>
      </c>
      <c r="H10" s="59">
        <f>'WH Users'!E5</f>
        <v>213136.85242583073</v>
      </c>
      <c r="I10" s="59">
        <f>'WH Users'!F5</f>
        <v>215541.55188639933</v>
      </c>
      <c r="J10" s="59">
        <f>'WH Users'!G5</f>
        <v>217946.25134696797</v>
      </c>
      <c r="K10" s="59">
        <f>'WH Users'!H5</f>
        <v>220350.95080753663</v>
      </c>
      <c r="L10" s="59">
        <f>'WH Users'!I5</f>
        <v>222755.65026810524</v>
      </c>
      <c r="M10" s="59">
        <f>'WH Users'!J5</f>
        <v>225160.34972867387</v>
      </c>
      <c r="N10" s="59">
        <f>'WH Users'!K5</f>
        <v>226654.87370733853</v>
      </c>
      <c r="O10" s="59">
        <f>'WH Users'!L5</f>
        <v>228149.39768600324</v>
      </c>
      <c r="P10" s="59">
        <f>'WH Users'!M5</f>
        <v>229643.92166466787</v>
      </c>
      <c r="Q10" s="59">
        <f>'WH Users'!N5</f>
        <v>231138.44564333255</v>
      </c>
      <c r="R10" s="59">
        <f>'WH Users'!O5</f>
        <v>232632.96962199715</v>
      </c>
      <c r="S10" s="59">
        <f>'WH Users'!P5</f>
        <v>234127.49360066187</v>
      </c>
      <c r="T10" s="59">
        <f>'WH Users'!Q5</f>
        <v>235622.01757932655</v>
      </c>
      <c r="U10" s="59">
        <f>'WH Users'!R5</f>
        <v>237116.54155799121</v>
      </c>
      <c r="V10" s="59">
        <f>'WH Users'!S5</f>
        <v>238611.06553665586</v>
      </c>
      <c r="W10" s="59">
        <f>'WH Users'!T5</f>
        <v>240105.58951532052</v>
      </c>
      <c r="X10" s="59">
        <f>'WH Users'!U5</f>
        <v>241699.32930715528</v>
      </c>
      <c r="Y10" s="59">
        <f>'WH Users'!V5</f>
        <v>243293.06909899015</v>
      </c>
      <c r="Z10" s="59">
        <f>'WH Users'!W5</f>
        <v>244886.80889082493</v>
      </c>
      <c r="AA10" s="59">
        <f>'WH Users'!X5</f>
        <v>246480.54868265975</v>
      </c>
      <c r="AB10" s="59">
        <f>'WH Users'!Y5</f>
        <v>248074.28847449456</v>
      </c>
      <c r="AC10" s="264">
        <f>'WH Users'!Z5</f>
        <v>249668.02826632935</v>
      </c>
      <c r="AD10" s="339">
        <f t="shared" ref="AD10:AD49" si="0">SUM(F10:AC10)</f>
        <v>5175479.033538579</v>
      </c>
    </row>
    <row r="11" spans="1:33" s="53" customFormat="1" ht="12">
      <c r="A11" s="58"/>
      <c r="B11" s="70" t="s">
        <v>446</v>
      </c>
      <c r="C11" s="54" t="s">
        <v>415</v>
      </c>
      <c r="D11" s="209"/>
      <c r="E11" s="216"/>
      <c r="F11" s="59">
        <f>'WH Users'!C6</f>
        <v>0</v>
      </c>
      <c r="G11" s="59">
        <f>'WH Users'!D6</f>
        <v>1053.6607648263102</v>
      </c>
      <c r="H11" s="59">
        <f>'WH Users'!E6</f>
        <v>4262.7370485166148</v>
      </c>
      <c r="I11" s="59">
        <f>'WH Users'!F6</f>
        <v>4310.8310377279868</v>
      </c>
      <c r="J11" s="59">
        <f>'WH Users'!G6</f>
        <v>4358.9250269393597</v>
      </c>
      <c r="K11" s="59">
        <f>'WH Users'!H6</f>
        <v>4407.0190161507326</v>
      </c>
      <c r="L11" s="59">
        <f>'WH Users'!I6</f>
        <v>4455.1130053621046</v>
      </c>
      <c r="M11" s="59">
        <f>'WH Users'!J6</f>
        <v>4503.2069945734775</v>
      </c>
      <c r="N11" s="59">
        <f>'WH Users'!K6</f>
        <v>4533.0974741467708</v>
      </c>
      <c r="O11" s="59">
        <f>'WH Users'!L6</f>
        <v>4562.987953720065</v>
      </c>
      <c r="P11" s="59">
        <f>'WH Users'!M6</f>
        <v>4592.8784332933574</v>
      </c>
      <c r="Q11" s="59">
        <f>'WH Users'!N6</f>
        <v>4622.7689128666516</v>
      </c>
      <c r="R11" s="59">
        <f>'WH Users'!O6</f>
        <v>4652.6593924399431</v>
      </c>
      <c r="S11" s="59">
        <f>'WH Users'!P6</f>
        <v>4682.5498720132373</v>
      </c>
      <c r="T11" s="59">
        <f>'WH Users'!Q6</f>
        <v>4712.4403515865315</v>
      </c>
      <c r="U11" s="59">
        <f>'WH Users'!R6</f>
        <v>4742.3308311598239</v>
      </c>
      <c r="V11" s="59">
        <f>'WH Users'!S6</f>
        <v>4772.2213107331172</v>
      </c>
      <c r="W11" s="59">
        <f>'WH Users'!T6</f>
        <v>4802.1117903064105</v>
      </c>
      <c r="X11" s="59">
        <f>'WH Users'!U6</f>
        <v>4833.9865861431053</v>
      </c>
      <c r="Y11" s="59">
        <f>'WH Users'!V6</f>
        <v>4865.8613819798029</v>
      </c>
      <c r="Z11" s="59">
        <f>'WH Users'!W6</f>
        <v>4897.7361778164986</v>
      </c>
      <c r="AA11" s="59">
        <f>'WH Users'!X6</f>
        <v>4929.6109736531953</v>
      </c>
      <c r="AB11" s="59">
        <f>'WH Users'!Y6</f>
        <v>4961.485769489891</v>
      </c>
      <c r="AC11" s="264">
        <f>'WH Users'!Z6</f>
        <v>4993.3605653265868</v>
      </c>
      <c r="AD11" s="339">
        <f t="shared" si="0"/>
        <v>103509.58067077157</v>
      </c>
    </row>
    <row r="12" spans="1:33" s="53" customFormat="1" ht="12">
      <c r="A12" s="58"/>
      <c r="B12" s="70"/>
      <c r="C12" s="78" t="s">
        <v>402</v>
      </c>
      <c r="D12" s="209"/>
      <c r="E12" s="216"/>
      <c r="F12" s="59">
        <f>'WH Users'!C7</f>
        <v>0</v>
      </c>
      <c r="G12" s="59">
        <f>'WH Users'!D7</f>
        <v>526.83038241315512</v>
      </c>
      <c r="H12" s="59">
        <f>'WH Users'!E7</f>
        <v>2131.3685242583074</v>
      </c>
      <c r="I12" s="59">
        <f>'WH Users'!F7</f>
        <v>2155.4155188639934</v>
      </c>
      <c r="J12" s="59">
        <f>'WH Users'!G7</f>
        <v>2179.4625134696798</v>
      </c>
      <c r="K12" s="59">
        <f>'WH Users'!H7</f>
        <v>2203.5095080753663</v>
      </c>
      <c r="L12" s="59">
        <f>'WH Users'!I7</f>
        <v>2227.5565026810523</v>
      </c>
      <c r="M12" s="59">
        <f>'WH Users'!J7</f>
        <v>2251.6034972867387</v>
      </c>
      <c r="N12" s="59">
        <f>'WH Users'!K7</f>
        <v>2266.5487370733854</v>
      </c>
      <c r="O12" s="59">
        <f>'WH Users'!L7</f>
        <v>2281.4939768600325</v>
      </c>
      <c r="P12" s="59">
        <f>'WH Users'!M7</f>
        <v>2296.4392166466787</v>
      </c>
      <c r="Q12" s="59">
        <f>'WH Users'!N7</f>
        <v>2311.3844564333258</v>
      </c>
      <c r="R12" s="59">
        <f>'WH Users'!O7</f>
        <v>2326.3296962199715</v>
      </c>
      <c r="S12" s="59">
        <f>'WH Users'!P7</f>
        <v>2341.2749360066186</v>
      </c>
      <c r="T12" s="59">
        <f>'WH Users'!Q7</f>
        <v>2356.2201757932658</v>
      </c>
      <c r="U12" s="59">
        <f>'WH Users'!R7</f>
        <v>2371.165415579912</v>
      </c>
      <c r="V12" s="59">
        <f>'WH Users'!S7</f>
        <v>2386.1106553665586</v>
      </c>
      <c r="W12" s="59">
        <f>'WH Users'!T7</f>
        <v>2401.0558951532053</v>
      </c>
      <c r="X12" s="59">
        <f>'WH Users'!U7</f>
        <v>2416.9932930715527</v>
      </c>
      <c r="Y12" s="59">
        <f>'WH Users'!V7</f>
        <v>2432.9306909899014</v>
      </c>
      <c r="Z12" s="59">
        <f>'WH Users'!W7</f>
        <v>2448.8680889082493</v>
      </c>
      <c r="AA12" s="59">
        <f>'WH Users'!X7</f>
        <v>2464.8054868265976</v>
      </c>
      <c r="AB12" s="59">
        <f>'WH Users'!Y7</f>
        <v>2480.7428847449455</v>
      </c>
      <c r="AC12" s="264">
        <f>'WH Users'!Z7</f>
        <v>2496.6802826632934</v>
      </c>
      <c r="AD12" s="339">
        <f t="shared" si="0"/>
        <v>51754.790335385784</v>
      </c>
    </row>
    <row r="13" spans="1:33" s="53" customFormat="1" ht="12">
      <c r="A13" s="58"/>
      <c r="B13" s="70"/>
      <c r="D13" s="209"/>
      <c r="E13" s="216"/>
      <c r="AC13" s="263"/>
      <c r="AD13" s="339"/>
    </row>
    <row r="14" spans="1:33" s="53" customFormat="1" ht="12">
      <c r="A14" s="58"/>
      <c r="B14" s="5" t="s">
        <v>261</v>
      </c>
      <c r="D14" s="209"/>
      <c r="E14" s="216"/>
      <c r="AC14" s="263"/>
      <c r="AD14" s="339"/>
    </row>
    <row r="15" spans="1:33" s="53" customFormat="1" ht="12">
      <c r="A15" s="58"/>
      <c r="B15" s="70" t="s">
        <v>447</v>
      </c>
      <c r="C15" s="70" t="s">
        <v>350</v>
      </c>
      <c r="D15" s="209"/>
      <c r="E15" s="216"/>
      <c r="F15" s="59">
        <f>'WH Users'!C11</f>
        <v>0</v>
      </c>
      <c r="G15" s="59">
        <f>'WH Users'!D11</f>
        <v>5100.1541340868816</v>
      </c>
      <c r="H15" s="59">
        <f>'WH Users'!E11</f>
        <v>20633.411346678673</v>
      </c>
      <c r="I15" s="59">
        <f>'WH Users'!F11</f>
        <v>20866.206157009819</v>
      </c>
      <c r="J15" s="59">
        <f>'WH Users'!G11</f>
        <v>21099.000967340966</v>
      </c>
      <c r="K15" s="59">
        <f>'WH Users'!H11</f>
        <v>21331.795777672116</v>
      </c>
      <c r="L15" s="59">
        <f>'WH Users'!I11</f>
        <v>21564.590588003259</v>
      </c>
      <c r="M15" s="59">
        <f>'WH Users'!J11</f>
        <v>21797.385398334409</v>
      </c>
      <c r="N15" s="59">
        <f>'WH Users'!K11</f>
        <v>21942.067688929805</v>
      </c>
      <c r="O15" s="59">
        <f>'WH Users'!L11</f>
        <v>22086.749979525208</v>
      </c>
      <c r="P15" s="59">
        <f>'WH Users'!M11</f>
        <v>22231.432270120607</v>
      </c>
      <c r="Q15" s="59">
        <f>'WH Users'!N11</f>
        <v>22376.114560716011</v>
      </c>
      <c r="R15" s="59">
        <f>'WH Users'!O11</f>
        <v>22520.796851311403</v>
      </c>
      <c r="S15" s="59">
        <f>'WH Users'!P11</f>
        <v>22665.479141906806</v>
      </c>
      <c r="T15" s="59">
        <f>'WH Users'!Q11</f>
        <v>22810.161432502206</v>
      </c>
      <c r="U15" s="59">
        <f>'WH Users'!R11</f>
        <v>22954.843723097605</v>
      </c>
      <c r="V15" s="59">
        <f>'WH Users'!S11</f>
        <v>23099.526013693008</v>
      </c>
      <c r="W15" s="59">
        <f>'WH Users'!T11</f>
        <v>23244.208304288404</v>
      </c>
      <c r="X15" s="59">
        <f>'WH Users'!U11</f>
        <v>23398.495506760537</v>
      </c>
      <c r="Y15" s="59">
        <f>'WH Users'!V11</f>
        <v>23552.782709232673</v>
      </c>
      <c r="Z15" s="59">
        <f>'WH Users'!W11</f>
        <v>23707.069911704806</v>
      </c>
      <c r="AA15" s="59">
        <f>'WH Users'!X11</f>
        <v>23861.357114176943</v>
      </c>
      <c r="AB15" s="59">
        <f>'WH Users'!Y11</f>
        <v>24015.644316649075</v>
      </c>
      <c r="AC15" s="264">
        <f>'WH Users'!Z11</f>
        <v>24169.931519121208</v>
      </c>
      <c r="AD15" s="339">
        <f t="shared" si="0"/>
        <v>501029.20541286241</v>
      </c>
      <c r="AG15" s="367"/>
    </row>
    <row r="16" spans="1:33" s="53" customFormat="1" ht="12">
      <c r="A16" s="58"/>
      <c r="B16" s="70" t="s">
        <v>446</v>
      </c>
      <c r="C16" s="54" t="s">
        <v>417</v>
      </c>
      <c r="D16" s="209"/>
      <c r="E16" s="216"/>
      <c r="F16" s="59">
        <f>'WH Users'!C12</f>
        <v>0</v>
      </c>
      <c r="G16" s="59">
        <f>'WH Users'!D12</f>
        <v>510.01541340868818</v>
      </c>
      <c r="H16" s="59">
        <f>'WH Users'!E12</f>
        <v>2063.3411346678672</v>
      </c>
      <c r="I16" s="59">
        <f>'WH Users'!F12</f>
        <v>2086.6206157009819</v>
      </c>
      <c r="J16" s="59">
        <f>'WH Users'!G12</f>
        <v>2109.9000967340967</v>
      </c>
      <c r="K16" s="59">
        <f>'WH Users'!H12</f>
        <v>2133.1795777672119</v>
      </c>
      <c r="L16" s="59">
        <f>'WH Users'!I12</f>
        <v>2156.4590588003261</v>
      </c>
      <c r="M16" s="59">
        <f>'WH Users'!J12</f>
        <v>2179.7385398334409</v>
      </c>
      <c r="N16" s="59">
        <f>'WH Users'!K12</f>
        <v>2194.2067688929806</v>
      </c>
      <c r="O16" s="59">
        <f>'WH Users'!L12</f>
        <v>2208.6749979525207</v>
      </c>
      <c r="P16" s="59">
        <f>'WH Users'!M12</f>
        <v>2223.1432270120608</v>
      </c>
      <c r="Q16" s="59">
        <f>'WH Users'!N12</f>
        <v>2237.611456071601</v>
      </c>
      <c r="R16" s="59">
        <f>'WH Users'!O12</f>
        <v>2252.0796851311402</v>
      </c>
      <c r="S16" s="59">
        <f>'WH Users'!P12</f>
        <v>2266.5479141906808</v>
      </c>
      <c r="T16" s="59">
        <f>'WH Users'!Q12</f>
        <v>2281.0161432502205</v>
      </c>
      <c r="U16" s="59">
        <f>'WH Users'!R12</f>
        <v>2295.4843723097606</v>
      </c>
      <c r="V16" s="59">
        <f>'WH Users'!S12</f>
        <v>2309.9526013693007</v>
      </c>
      <c r="W16" s="59">
        <f>'WH Users'!T12</f>
        <v>2324.4208304288404</v>
      </c>
      <c r="X16" s="59">
        <f>'WH Users'!U12</f>
        <v>2339.8495506760537</v>
      </c>
      <c r="Y16" s="59">
        <f>'WH Users'!V12</f>
        <v>2355.2782709232674</v>
      </c>
      <c r="Z16" s="59">
        <f>'WH Users'!W12</f>
        <v>2370.7069911704807</v>
      </c>
      <c r="AA16" s="59">
        <f>'WH Users'!X12</f>
        <v>2386.1357114176944</v>
      </c>
      <c r="AB16" s="59">
        <f>'WH Users'!Y12</f>
        <v>2401.5644316649077</v>
      </c>
      <c r="AC16" s="264">
        <f>'WH Users'!Z12</f>
        <v>2416.993151912121</v>
      </c>
      <c r="AD16" s="339">
        <f t="shared" si="0"/>
        <v>50102.920541286243</v>
      </c>
      <c r="AG16" s="367"/>
    </row>
    <row r="17" spans="1:33" s="53" customFormat="1" ht="12">
      <c r="A17" s="58"/>
      <c r="B17" s="70"/>
      <c r="C17" s="78" t="s">
        <v>411</v>
      </c>
      <c r="D17" s="209"/>
      <c r="E17" s="216"/>
      <c r="F17" s="59">
        <f>'WH Users'!C13</f>
        <v>0</v>
      </c>
      <c r="G17" s="59">
        <f>'WH Users'!D13</f>
        <v>255.00770670434409</v>
      </c>
      <c r="H17" s="59">
        <f>'WH Users'!E13</f>
        <v>1031.6705673339336</v>
      </c>
      <c r="I17" s="59">
        <f>'WH Users'!F13</f>
        <v>1043.310307850491</v>
      </c>
      <c r="J17" s="59">
        <f>'WH Users'!G13</f>
        <v>1054.9500483670483</v>
      </c>
      <c r="K17" s="59">
        <f>'WH Users'!H13</f>
        <v>1066.5897888836059</v>
      </c>
      <c r="L17" s="59">
        <f>'WH Users'!I13</f>
        <v>1078.2295294001631</v>
      </c>
      <c r="M17" s="59">
        <f>'WH Users'!J13</f>
        <v>1089.8692699167204</v>
      </c>
      <c r="N17" s="59">
        <f>'WH Users'!K13</f>
        <v>1097.1033844464903</v>
      </c>
      <c r="O17" s="59">
        <f>'WH Users'!L13</f>
        <v>1104.3374989762603</v>
      </c>
      <c r="P17" s="59">
        <f>'WH Users'!M13</f>
        <v>1111.5716135060304</v>
      </c>
      <c r="Q17" s="59">
        <f>'WH Users'!N13</f>
        <v>1118.8057280358005</v>
      </c>
      <c r="R17" s="59">
        <f>'WH Users'!O13</f>
        <v>1126.0398425655701</v>
      </c>
      <c r="S17" s="59">
        <f>'WH Users'!P13</f>
        <v>1133.2739570953404</v>
      </c>
      <c r="T17" s="59">
        <f>'WH Users'!Q13</f>
        <v>1140.5080716251102</v>
      </c>
      <c r="U17" s="59">
        <f>'WH Users'!R13</f>
        <v>1147.7421861548803</v>
      </c>
      <c r="V17" s="59">
        <f>'WH Users'!S13</f>
        <v>1154.9763006846504</v>
      </c>
      <c r="W17" s="59">
        <f>'WH Users'!T13</f>
        <v>1162.2104152144202</v>
      </c>
      <c r="X17" s="59">
        <f>'WH Users'!U13</f>
        <v>1169.9247753380268</v>
      </c>
      <c r="Y17" s="59">
        <f>'WH Users'!V13</f>
        <v>1177.6391354616337</v>
      </c>
      <c r="Z17" s="59">
        <f>'WH Users'!W13</f>
        <v>1185.3534955852404</v>
      </c>
      <c r="AA17" s="59">
        <f>'WH Users'!X13</f>
        <v>1193.0678557088472</v>
      </c>
      <c r="AB17" s="59">
        <f>'WH Users'!Y13</f>
        <v>1200.7822158324539</v>
      </c>
      <c r="AC17" s="264">
        <f>'WH Users'!Z13</f>
        <v>1208.4965759560605</v>
      </c>
      <c r="AD17" s="339">
        <f t="shared" si="0"/>
        <v>25051.460270643121</v>
      </c>
      <c r="AG17" s="70"/>
    </row>
    <row r="18" spans="1:33" s="53" customFormat="1" ht="12">
      <c r="A18" s="58"/>
      <c r="B18" s="70"/>
      <c r="C18" s="48"/>
      <c r="D18" s="209"/>
      <c r="E18" s="216"/>
      <c r="AC18" s="263"/>
      <c r="AD18" s="339"/>
      <c r="AG18" s="368"/>
    </row>
    <row r="19" spans="1:33" s="53" customFormat="1" ht="12">
      <c r="A19" s="58"/>
      <c r="B19" s="70"/>
      <c r="C19" s="58" t="s">
        <v>420</v>
      </c>
      <c r="D19" s="209"/>
      <c r="E19" s="216"/>
      <c r="AC19" s="263"/>
      <c r="AD19" s="338"/>
      <c r="AG19" s="288"/>
    </row>
    <row r="20" spans="1:33" s="53" customFormat="1" ht="12">
      <c r="A20" s="58"/>
      <c r="B20" s="70"/>
      <c r="C20" s="78" t="s">
        <v>488</v>
      </c>
      <c r="D20" s="209"/>
      <c r="E20" s="216"/>
      <c r="F20" s="279">
        <f>'WH Users'!C18</f>
        <v>0</v>
      </c>
      <c r="G20" s="279">
        <f>'WH Users'!D18</f>
        <v>2345.5142673524974</v>
      </c>
      <c r="H20" s="279">
        <f>'WH Users'!E18</f>
        <v>9489.1172747767232</v>
      </c>
      <c r="I20" s="279">
        <f>'WH Users'!F18</f>
        <v>9596.1774801434512</v>
      </c>
      <c r="J20" s="279">
        <f>'WH Users'!G18</f>
        <v>9703.2376855101847</v>
      </c>
      <c r="K20" s="279">
        <f>'WH Users'!H18</f>
        <v>9810.2978908769164</v>
      </c>
      <c r="L20" s="279">
        <f>'WH Users'!I18</f>
        <v>9917.3580962436463</v>
      </c>
      <c r="M20" s="279">
        <f>'WH Users'!J18</f>
        <v>10024.418301610378</v>
      </c>
      <c r="N20" s="279">
        <f>'WH Users'!K18</f>
        <v>10090.956364559628</v>
      </c>
      <c r="O20" s="279">
        <f>'WH Users'!L18</f>
        <v>10157.494427508878</v>
      </c>
      <c r="P20" s="279">
        <f>'WH Users'!M18</f>
        <v>10224.032490458127</v>
      </c>
      <c r="Q20" s="279">
        <f>'WH Users'!N18</f>
        <v>10290.570553407379</v>
      </c>
      <c r="R20" s="279">
        <f>'WH Users'!O18</f>
        <v>10357.108616356625</v>
      </c>
      <c r="S20" s="279">
        <f>'WH Users'!P18</f>
        <v>10423.646679305877</v>
      </c>
      <c r="T20" s="279">
        <f>'WH Users'!Q18</f>
        <v>10490.184742255129</v>
      </c>
      <c r="U20" s="279">
        <f>'WH Users'!R18</f>
        <v>10556.722805204377</v>
      </c>
      <c r="V20" s="279">
        <f>'WH Users'!S18</f>
        <v>10623.260868153626</v>
      </c>
      <c r="W20" s="279">
        <f>'WH Users'!T18</f>
        <v>10689.798931102876</v>
      </c>
      <c r="X20" s="279">
        <f>'WH Users'!U18</f>
        <v>10760.754205228739</v>
      </c>
      <c r="Y20" s="279">
        <f>'WH Users'!V18</f>
        <v>10831.709479354606</v>
      </c>
      <c r="Z20" s="279">
        <f>'WH Users'!W18</f>
        <v>10902.664753480469</v>
      </c>
      <c r="AA20" s="279">
        <f>'WH Users'!X18</f>
        <v>10973.620027606335</v>
      </c>
      <c r="AB20" s="279">
        <f>'WH Users'!Y18</f>
        <v>11044.575301732199</v>
      </c>
      <c r="AC20" s="384">
        <f>'WH Users'!Z18</f>
        <v>11115.53057585806</v>
      </c>
      <c r="AD20" s="341">
        <f t="shared" si="0"/>
        <v>230418.75181808672</v>
      </c>
    </row>
    <row r="21" spans="1:33" s="53" customFormat="1" ht="12">
      <c r="A21" s="58"/>
      <c r="B21" s="70"/>
      <c r="C21" s="78" t="s">
        <v>489</v>
      </c>
      <c r="D21" s="209"/>
      <c r="E21" s="216"/>
      <c r="F21" s="279">
        <f>'WH Users'!C19</f>
        <v>0</v>
      </c>
      <c r="G21" s="279">
        <f>'WH Users'!D19</f>
        <v>-371.99186589049066</v>
      </c>
      <c r="H21" s="279">
        <f>'WH Users'!E19</f>
        <v>-1504.9469064548609</v>
      </c>
      <c r="I21" s="279">
        <f>'WH Users'!F19</f>
        <v>-1521.9263493477586</v>
      </c>
      <c r="J21" s="279">
        <f>'WH Users'!G19</f>
        <v>-1538.9057922406571</v>
      </c>
      <c r="K21" s="279">
        <f>'WH Users'!H19</f>
        <v>-1555.8852351335552</v>
      </c>
      <c r="L21" s="279">
        <f>'WH Users'!I19</f>
        <v>-1572.864678026453</v>
      </c>
      <c r="M21" s="279">
        <f>'WH Users'!J19</f>
        <v>-1589.8441209193513</v>
      </c>
      <c r="N21" s="279">
        <f>'WH Users'!K19</f>
        <v>-1600.3968677236455</v>
      </c>
      <c r="O21" s="279">
        <f>'WH Users'!L19</f>
        <v>-1610.9496145279397</v>
      </c>
      <c r="P21" s="279">
        <f>'WH Users'!M19</f>
        <v>-1621.5023613322335</v>
      </c>
      <c r="Q21" s="279">
        <f>'WH Users'!N19</f>
        <v>-1632.0551081365281</v>
      </c>
      <c r="R21" s="279">
        <f>'WH Users'!O19</f>
        <v>-1642.6078549408217</v>
      </c>
      <c r="S21" s="279">
        <f>'WH Users'!P19</f>
        <v>-1653.1606017451161</v>
      </c>
      <c r="T21" s="279">
        <f>'WH Users'!Q19</f>
        <v>-1663.7133485494105</v>
      </c>
      <c r="U21" s="279">
        <f>'WH Users'!R19</f>
        <v>-1674.2660953537045</v>
      </c>
      <c r="V21" s="279">
        <f>'WH Users'!S19</f>
        <v>-1684.8188421579985</v>
      </c>
      <c r="W21" s="279">
        <f>'WH Users'!T19</f>
        <v>-1695.3715889622927</v>
      </c>
      <c r="X21" s="279">
        <f>'WH Users'!U19</f>
        <v>-1706.6248928471775</v>
      </c>
      <c r="Y21" s="279">
        <f>'WH Users'!V19</f>
        <v>-1717.8781967320631</v>
      </c>
      <c r="Z21" s="279">
        <f>'WH Users'!W19</f>
        <v>-1729.1315006169482</v>
      </c>
      <c r="AA21" s="279">
        <f>'WH Users'!X19</f>
        <v>-1740.3848045018337</v>
      </c>
      <c r="AB21" s="279">
        <f>'WH Users'!Y19</f>
        <v>-1751.6381083867188</v>
      </c>
      <c r="AC21" s="384">
        <f>'WH Users'!Z19</f>
        <v>-1762.8914122716035</v>
      </c>
      <c r="AD21" s="341">
        <f t="shared" si="0"/>
        <v>-36543.756146799155</v>
      </c>
    </row>
    <row r="22" spans="1:33" s="53" customFormat="1" ht="12">
      <c r="A22" s="58"/>
      <c r="B22" s="70"/>
      <c r="C22" s="78" t="s">
        <v>490</v>
      </c>
      <c r="D22" s="209"/>
      <c r="E22" s="216"/>
      <c r="F22" s="279">
        <f>'WH Users'!C20</f>
        <v>0</v>
      </c>
      <c r="G22" s="279">
        <f>'WH Users'!D20</f>
        <v>-1563.6761782349984</v>
      </c>
      <c r="H22" s="279">
        <f>'WH Users'!E20</f>
        <v>-6326.0781831844815</v>
      </c>
      <c r="I22" s="279">
        <f>'WH Users'!F20</f>
        <v>-6397.4516534289687</v>
      </c>
      <c r="J22" s="279">
        <f>'WH Users'!G20</f>
        <v>-6468.8251236734559</v>
      </c>
      <c r="K22" s="279">
        <f>'WH Users'!H20</f>
        <v>-6540.1985939179449</v>
      </c>
      <c r="L22" s="279">
        <f>'WH Users'!I20</f>
        <v>-6611.5720641624303</v>
      </c>
      <c r="M22" s="279">
        <f>'WH Users'!J20</f>
        <v>-6682.9455344069183</v>
      </c>
      <c r="N22" s="279">
        <f>'WH Users'!K20</f>
        <v>-6727.3042430397509</v>
      </c>
      <c r="O22" s="279">
        <f>'WH Users'!L20</f>
        <v>-6771.6629516725861</v>
      </c>
      <c r="P22" s="279">
        <f>'WH Users'!M20</f>
        <v>-6816.0216603054178</v>
      </c>
      <c r="Q22" s="279">
        <f>'WH Users'!N20</f>
        <v>-6860.380368938253</v>
      </c>
      <c r="R22" s="279">
        <f>'WH Users'!O20</f>
        <v>-6904.7390775710828</v>
      </c>
      <c r="S22" s="279">
        <f>'WH Users'!P20</f>
        <v>-6949.0977862039181</v>
      </c>
      <c r="T22" s="279">
        <f>'WH Users'!Q20</f>
        <v>-6993.4564948367515</v>
      </c>
      <c r="U22" s="279">
        <f>'WH Users'!R20</f>
        <v>-7037.815203469585</v>
      </c>
      <c r="V22" s="279">
        <f>'WH Users'!S20</f>
        <v>-7082.1739121024184</v>
      </c>
      <c r="W22" s="279">
        <f>'WH Users'!T20</f>
        <v>-7126.5326207352509</v>
      </c>
      <c r="X22" s="279">
        <f>'WH Users'!U20</f>
        <v>-7173.836136819159</v>
      </c>
      <c r="Y22" s="279">
        <f>'WH Users'!V20</f>
        <v>-7221.1396529030699</v>
      </c>
      <c r="Z22" s="279">
        <f>'WH Users'!W20</f>
        <v>-7268.4431689869798</v>
      </c>
      <c r="AA22" s="279">
        <f>'WH Users'!X20</f>
        <v>-7315.7466850708897</v>
      </c>
      <c r="AB22" s="279">
        <f>'WH Users'!Y20</f>
        <v>-7363.0502011547987</v>
      </c>
      <c r="AC22" s="384">
        <f>'WH Users'!Z20</f>
        <v>-7410.3537172387078</v>
      </c>
      <c r="AD22" s="341">
        <f t="shared" si="0"/>
        <v>-153612.5012120578</v>
      </c>
    </row>
    <row r="23" spans="1:33" s="53" customFormat="1" ht="12">
      <c r="A23" s="58"/>
      <c r="B23" s="70"/>
      <c r="C23" s="78" t="s">
        <v>491</v>
      </c>
      <c r="D23" s="209"/>
      <c r="E23" s="216"/>
      <c r="F23" s="279">
        <f>'WH Users'!C21</f>
        <v>0</v>
      </c>
      <c r="G23" s="279">
        <f>'WH Users'!D21</f>
        <v>-10163.89515852749</v>
      </c>
      <c r="H23" s="279">
        <f>'WH Users'!E21</f>
        <v>-41119.508190699133</v>
      </c>
      <c r="I23" s="279">
        <f>'WH Users'!F21</f>
        <v>-41583.435747288298</v>
      </c>
      <c r="J23" s="279">
        <f>'WH Users'!G21</f>
        <v>-42047.363303877464</v>
      </c>
      <c r="K23" s="279">
        <f>'WH Users'!H21</f>
        <v>-42511.290860466645</v>
      </c>
      <c r="L23" s="279">
        <f>'WH Users'!I21</f>
        <v>-42975.218417055796</v>
      </c>
      <c r="M23" s="279">
        <f>'WH Users'!J21</f>
        <v>-43439.145973644969</v>
      </c>
      <c r="N23" s="279">
        <f>'WH Users'!K21</f>
        <v>-43727.477579758379</v>
      </c>
      <c r="O23" s="279">
        <f>'WH Users'!L21</f>
        <v>-44015.809185871811</v>
      </c>
      <c r="P23" s="279">
        <f>'WH Users'!M21</f>
        <v>-44304.140791985214</v>
      </c>
      <c r="Q23" s="279">
        <f>'WH Users'!N21</f>
        <v>-44592.472398098645</v>
      </c>
      <c r="R23" s="279">
        <f>'WH Users'!O21</f>
        <v>-44880.804004212041</v>
      </c>
      <c r="S23" s="279">
        <f>'WH Users'!P21</f>
        <v>-45169.135610325466</v>
      </c>
      <c r="T23" s="279">
        <f>'WH Users'!Q21</f>
        <v>-45457.467216438883</v>
      </c>
      <c r="U23" s="279">
        <f>'WH Users'!R21</f>
        <v>-45745.7988225523</v>
      </c>
      <c r="V23" s="279">
        <f>'WH Users'!S21</f>
        <v>-46034.130428665718</v>
      </c>
      <c r="W23" s="279">
        <f>'WH Users'!T21</f>
        <v>-46322.462034779128</v>
      </c>
      <c r="X23" s="279">
        <f>'WH Users'!U21</f>
        <v>-46629.934889324533</v>
      </c>
      <c r="Y23" s="279">
        <f>'WH Users'!V21</f>
        <v>-46937.407743869953</v>
      </c>
      <c r="Z23" s="279">
        <f>'WH Users'!W21</f>
        <v>-47244.880598415366</v>
      </c>
      <c r="AA23" s="279">
        <f>'WH Users'!X21</f>
        <v>-47552.353452960786</v>
      </c>
      <c r="AB23" s="279">
        <f>'WH Users'!Y21</f>
        <v>-47859.826307506191</v>
      </c>
      <c r="AC23" s="384">
        <f>'WH Users'!Z21</f>
        <v>-48167.299162051597</v>
      </c>
      <c r="AD23" s="341">
        <f t="shared" si="0"/>
        <v>-998481.25787837582</v>
      </c>
    </row>
    <row r="24" spans="1:33" s="53" customFormat="1" ht="12">
      <c r="A24" s="58"/>
      <c r="B24" s="70"/>
      <c r="C24" s="54" t="s">
        <v>492</v>
      </c>
      <c r="D24" s="209"/>
      <c r="E24" s="216"/>
      <c r="F24" s="435">
        <f>'WH Users'!C22</f>
        <v>0</v>
      </c>
      <c r="G24" s="435">
        <f>'WH Users'!D22</f>
        <v>1791.1110366732573</v>
      </c>
      <c r="H24" s="435">
        <f>'WH Users'!E22</f>
        <v>7082.8910687526295</v>
      </c>
      <c r="I24" s="435">
        <f>'WH Users'!F22</f>
        <v>7004.9328991640386</v>
      </c>
      <c r="J24" s="435">
        <f>'WH Users'!G22</f>
        <v>6930.3370653378015</v>
      </c>
      <c r="K24" s="435">
        <f>'WH Users'!H22</f>
        <v>6858.890632897429</v>
      </c>
      <c r="L24" s="435">
        <f>'WH Users'!I22</f>
        <v>6790.3982757404046</v>
      </c>
      <c r="M24" s="435">
        <f>'WH Users'!J22</f>
        <v>6724.6804927931453</v>
      </c>
      <c r="N24" s="435">
        <f>'WH Users'!K22</f>
        <v>6634.9282289090352</v>
      </c>
      <c r="O24" s="435">
        <f>'WH Users'!L22</f>
        <v>6675.1411523648612</v>
      </c>
      <c r="P24" s="435">
        <f>'WH Users'!M22</f>
        <v>6715.3115091015106</v>
      </c>
      <c r="Q24" s="435">
        <f>'WH Users'!N22</f>
        <v>6755.4393666706756</v>
      </c>
      <c r="R24" s="435">
        <f>'WH Users'!O22</f>
        <v>6795.5247924811711</v>
      </c>
      <c r="S24" s="435">
        <f>'WH Users'!P22</f>
        <v>6835.5678537993435</v>
      </c>
      <c r="T24" s="435">
        <f>'WH Users'!Q22</f>
        <v>6875.5686177494208</v>
      </c>
      <c r="U24" s="435">
        <f>'WH Users'!R22</f>
        <v>6915.5271513139069</v>
      </c>
      <c r="V24" s="435">
        <f>'WH Users'!S22</f>
        <v>6955.4435213339466</v>
      </c>
      <c r="W24" s="435">
        <f>'WH Users'!T22</f>
        <v>6995.3177945096986</v>
      </c>
      <c r="X24" s="435">
        <f>'WH Users'!U22</f>
        <v>7038.039101158337</v>
      </c>
      <c r="Y24" s="435">
        <f>'WH Users'!V22</f>
        <v>7080.7154002695315</v>
      </c>
      <c r="Z24" s="435">
        <f>'WH Users'!W22</f>
        <v>7123.3467629300058</v>
      </c>
      <c r="AA24" s="435">
        <f>'WH Users'!X22</f>
        <v>7165.9332600768648</v>
      </c>
      <c r="AB24" s="435">
        <f>'WH Users'!Y22</f>
        <v>7208.4749624979795</v>
      </c>
      <c r="AC24" s="436">
        <f>'WH Users'!Z22</f>
        <v>7250.971940832389</v>
      </c>
      <c r="AD24" s="342">
        <f t="shared" si="0"/>
        <v>154204.49288735737</v>
      </c>
    </row>
    <row r="25" spans="1:33" s="53" customFormat="1" ht="12">
      <c r="A25" s="58"/>
      <c r="B25" s="70"/>
      <c r="C25" s="66"/>
      <c r="D25" s="209"/>
      <c r="E25" s="216"/>
      <c r="H25" s="59"/>
      <c r="I25" s="59"/>
      <c r="J25" s="59"/>
      <c r="K25" s="59"/>
      <c r="L25" s="59"/>
      <c r="M25" s="59"/>
      <c r="N25" s="59"/>
      <c r="O25" s="59"/>
      <c r="P25" s="59"/>
      <c r="Q25" s="59"/>
      <c r="R25" s="59"/>
      <c r="S25" s="59"/>
      <c r="T25" s="59"/>
      <c r="U25" s="59"/>
      <c r="V25" s="59"/>
      <c r="W25" s="59"/>
      <c r="X25" s="59"/>
      <c r="Y25" s="59"/>
      <c r="AC25" s="263"/>
      <c r="AD25" s="338"/>
    </row>
    <row r="26" spans="1:33" s="53" customFormat="1" ht="12">
      <c r="A26" s="58"/>
      <c r="B26" s="58"/>
      <c r="D26" s="209"/>
      <c r="E26" s="216"/>
      <c r="AC26" s="263"/>
      <c r="AD26" s="338"/>
    </row>
    <row r="27" spans="1:33" s="53" customFormat="1" ht="12">
      <c r="A27" s="58" t="s">
        <v>348</v>
      </c>
      <c r="B27" s="58"/>
      <c r="D27" s="209"/>
      <c r="E27" s="216"/>
      <c r="H27" s="59"/>
      <c r="I27" s="59"/>
      <c r="J27" s="59"/>
      <c r="K27" s="59"/>
      <c r="L27" s="59"/>
      <c r="M27" s="59"/>
      <c r="N27" s="59"/>
      <c r="O27" s="59"/>
      <c r="P27" s="59"/>
      <c r="Q27" s="59"/>
      <c r="R27" s="59"/>
      <c r="S27" s="59"/>
      <c r="T27" s="59"/>
      <c r="U27" s="59"/>
      <c r="V27" s="59"/>
      <c r="W27" s="59"/>
      <c r="X27" s="59"/>
      <c r="Y27" s="59"/>
      <c r="AC27" s="263"/>
      <c r="AD27" s="338"/>
    </row>
    <row r="28" spans="1:33" s="53" customFormat="1" ht="12">
      <c r="A28" s="58"/>
      <c r="B28" s="58"/>
      <c r="C28" s="197" t="s">
        <v>349</v>
      </c>
      <c r="D28" s="209"/>
      <c r="E28" s="216"/>
      <c r="H28" s="59"/>
      <c r="I28" s="59"/>
      <c r="J28" s="59"/>
      <c r="K28" s="59"/>
      <c r="L28" s="59"/>
      <c r="M28" s="59"/>
      <c r="N28" s="59"/>
      <c r="O28" s="59"/>
      <c r="P28" s="59"/>
      <c r="Q28" s="59"/>
      <c r="R28" s="59"/>
      <c r="S28" s="59"/>
      <c r="T28" s="59"/>
      <c r="U28" s="59"/>
      <c r="V28" s="59"/>
      <c r="W28" s="59"/>
      <c r="X28" s="59"/>
      <c r="Y28" s="59"/>
      <c r="AC28" s="263"/>
      <c r="AD28" s="338"/>
    </row>
    <row r="29" spans="1:33" s="53" customFormat="1" ht="12">
      <c r="A29" s="58"/>
      <c r="B29" s="58"/>
      <c r="D29" s="209"/>
      <c r="E29" s="216"/>
      <c r="H29" s="59"/>
      <c r="I29" s="59"/>
      <c r="J29" s="59"/>
      <c r="K29" s="59"/>
      <c r="L29" s="59"/>
      <c r="M29" s="59"/>
      <c r="N29" s="59"/>
      <c r="O29" s="59"/>
      <c r="P29" s="59"/>
      <c r="Q29" s="59"/>
      <c r="R29" s="59"/>
      <c r="S29" s="59"/>
      <c r="T29" s="59"/>
      <c r="U29" s="59"/>
      <c r="V29" s="59"/>
      <c r="W29" s="59"/>
      <c r="X29" s="59"/>
      <c r="Y29" s="59"/>
      <c r="AC29" s="263"/>
      <c r="AD29" s="338"/>
    </row>
    <row r="30" spans="1:33" s="53" customFormat="1" ht="12">
      <c r="A30" s="58"/>
      <c r="B30" s="58"/>
      <c r="D30" s="209"/>
      <c r="E30" s="216"/>
      <c r="H30" s="59"/>
      <c r="I30" s="59"/>
      <c r="J30" s="59"/>
      <c r="K30" s="59"/>
      <c r="L30" s="59"/>
      <c r="M30" s="59"/>
      <c r="N30" s="59"/>
      <c r="O30" s="59"/>
      <c r="P30" s="59"/>
      <c r="Q30" s="59"/>
      <c r="R30" s="59"/>
      <c r="S30" s="59"/>
      <c r="T30" s="59"/>
      <c r="U30" s="59"/>
      <c r="V30" s="59"/>
      <c r="W30" s="59"/>
      <c r="X30" s="59"/>
      <c r="Y30" s="59"/>
      <c r="AC30" s="263"/>
      <c r="AD30" s="338"/>
    </row>
    <row r="31" spans="1:33" s="53" customFormat="1" ht="12">
      <c r="A31" s="58"/>
      <c r="B31" s="58"/>
      <c r="C31" s="45"/>
      <c r="D31" s="210"/>
      <c r="E31" s="216"/>
      <c r="F31" s="59"/>
      <c r="G31" s="59"/>
      <c r="H31" s="59"/>
      <c r="I31" s="59"/>
      <c r="J31" s="59"/>
      <c r="K31" s="59"/>
      <c r="L31" s="59"/>
      <c r="M31" s="59"/>
      <c r="N31" s="59"/>
      <c r="O31" s="59"/>
      <c r="P31" s="59"/>
      <c r="Q31" s="59"/>
      <c r="R31" s="59"/>
      <c r="S31" s="59"/>
      <c r="T31" s="59"/>
      <c r="U31" s="59"/>
      <c r="V31" s="59"/>
      <c r="W31" s="59"/>
      <c r="X31" s="59"/>
      <c r="Y31" s="59"/>
      <c r="AC31" s="263"/>
      <c r="AD31" s="338"/>
    </row>
    <row r="32" spans="1:33" s="53" customFormat="1" ht="12">
      <c r="A32" s="44" t="s">
        <v>346</v>
      </c>
      <c r="B32" s="44"/>
      <c r="C32" s="45"/>
      <c r="D32" s="210"/>
      <c r="E32" s="217"/>
      <c r="F32" s="45"/>
      <c r="G32" s="59"/>
      <c r="H32" s="59"/>
      <c r="I32" s="59"/>
      <c r="J32" s="59"/>
      <c r="K32" s="59"/>
      <c r="L32" s="59"/>
      <c r="M32" s="59"/>
      <c r="N32" s="59"/>
      <c r="O32" s="59"/>
      <c r="P32" s="59"/>
      <c r="Q32" s="59"/>
      <c r="R32" s="59"/>
      <c r="S32" s="59"/>
      <c r="T32" s="59"/>
      <c r="U32" s="59"/>
      <c r="V32" s="59"/>
      <c r="W32" s="59"/>
      <c r="X32" s="59"/>
      <c r="Y32" s="59"/>
      <c r="AC32" s="263"/>
      <c r="AD32" s="338"/>
    </row>
    <row r="33" spans="1:30" s="53" customFormat="1" ht="12">
      <c r="A33" s="44"/>
      <c r="B33" s="44"/>
      <c r="C33" s="45"/>
      <c r="D33" s="210"/>
      <c r="E33" s="217"/>
      <c r="F33" s="45"/>
      <c r="G33" s="59"/>
      <c r="H33" s="59"/>
      <c r="I33" s="59"/>
      <c r="J33" s="59"/>
      <c r="K33" s="59"/>
      <c r="L33" s="59"/>
      <c r="M33" s="59"/>
      <c r="N33" s="59"/>
      <c r="O33" s="59"/>
      <c r="P33" s="59"/>
      <c r="Q33" s="59"/>
      <c r="R33" s="59"/>
      <c r="S33" s="59"/>
      <c r="T33" s="59"/>
      <c r="U33" s="59"/>
      <c r="V33" s="59"/>
      <c r="W33" s="59"/>
      <c r="X33" s="59"/>
      <c r="Y33" s="59"/>
      <c r="AC33" s="263"/>
      <c r="AD33" s="338"/>
    </row>
    <row r="34" spans="1:30" s="53" customFormat="1" ht="12">
      <c r="A34" s="44"/>
      <c r="B34" s="5" t="s">
        <v>351</v>
      </c>
      <c r="C34" s="45"/>
      <c r="D34" s="210"/>
      <c r="E34" s="217"/>
      <c r="F34" s="45"/>
      <c r="G34" s="59"/>
      <c r="H34" s="59"/>
      <c r="I34" s="59"/>
      <c r="J34" s="59"/>
      <c r="K34" s="59"/>
      <c r="L34" s="59"/>
      <c r="M34" s="59"/>
      <c r="N34" s="59"/>
      <c r="O34" s="59"/>
      <c r="P34" s="59"/>
      <c r="Q34" s="59"/>
      <c r="R34" s="59"/>
      <c r="S34" s="59"/>
      <c r="T34" s="59"/>
      <c r="U34" s="59"/>
      <c r="V34" s="59"/>
      <c r="W34" s="59"/>
      <c r="X34" s="59"/>
      <c r="Y34" s="59"/>
      <c r="AC34" s="263"/>
      <c r="AD34" s="338"/>
    </row>
    <row r="35" spans="1:30" s="53" customFormat="1" ht="12">
      <c r="A35" s="44"/>
      <c r="B35" s="250" t="s">
        <v>447</v>
      </c>
      <c r="C35" s="70" t="s">
        <v>350</v>
      </c>
      <c r="D35" s="210"/>
      <c r="E35" s="217"/>
      <c r="F35" s="45"/>
      <c r="G35" s="59"/>
      <c r="H35" s="59"/>
      <c r="I35" s="59"/>
      <c r="J35" s="59"/>
      <c r="K35" s="59"/>
      <c r="L35" s="59"/>
      <c r="M35" s="59"/>
      <c r="N35" s="59"/>
      <c r="O35" s="59"/>
      <c r="P35" s="59"/>
      <c r="Q35" s="59"/>
      <c r="R35" s="59"/>
      <c r="S35" s="59"/>
      <c r="T35" s="59"/>
      <c r="U35" s="59"/>
      <c r="V35" s="59"/>
      <c r="W35" s="59"/>
      <c r="X35" s="59"/>
      <c r="Y35" s="59"/>
      <c r="AC35" s="263"/>
      <c r="AD35" s="338"/>
    </row>
    <row r="36" spans="1:30" s="53" customFormat="1" ht="12">
      <c r="A36" s="44"/>
      <c r="C36" s="63" t="s">
        <v>131</v>
      </c>
      <c r="D36" s="210"/>
      <c r="E36" s="217"/>
      <c r="F36" s="45"/>
      <c r="G36" s="59"/>
      <c r="H36" s="59"/>
      <c r="I36" s="59"/>
      <c r="J36" s="59"/>
      <c r="K36" s="59"/>
      <c r="L36" s="59"/>
      <c r="M36" s="59"/>
      <c r="N36" s="59"/>
      <c r="O36" s="59"/>
      <c r="P36" s="59"/>
      <c r="Q36" s="59"/>
      <c r="R36" s="59"/>
      <c r="S36" s="59"/>
      <c r="T36" s="59"/>
      <c r="U36" s="59"/>
      <c r="V36" s="59"/>
      <c r="W36" s="59"/>
      <c r="X36" s="59"/>
      <c r="Y36" s="59"/>
      <c r="AC36" s="263"/>
      <c r="AD36" s="338"/>
    </row>
    <row r="37" spans="1:30" s="53" customFormat="1" ht="12">
      <c r="A37" s="44"/>
      <c r="C37" s="226" t="s">
        <v>412</v>
      </c>
      <c r="D37" s="247">
        <f>50/3600</f>
        <v>1.3888888888888888E-2</v>
      </c>
      <c r="E37" s="217"/>
      <c r="F37" s="45"/>
      <c r="G37" s="59"/>
      <c r="H37" s="59"/>
      <c r="I37" s="59"/>
      <c r="J37" s="59"/>
      <c r="K37" s="59"/>
      <c r="L37" s="59"/>
      <c r="M37" s="59"/>
      <c r="N37" s="59"/>
      <c r="O37" s="59"/>
      <c r="P37" s="59"/>
      <c r="Q37" s="59"/>
      <c r="R37" s="59"/>
      <c r="S37" s="59"/>
      <c r="T37" s="59"/>
      <c r="U37" s="59"/>
      <c r="V37" s="59"/>
      <c r="W37" s="59"/>
      <c r="X37" s="59"/>
      <c r="Y37" s="59"/>
      <c r="AC37" s="263"/>
      <c r="AD37" s="338"/>
    </row>
    <row r="38" spans="1:30" s="53" customFormat="1" ht="12">
      <c r="A38" s="44"/>
      <c r="C38" s="224" t="s">
        <v>403</v>
      </c>
      <c r="D38" s="253">
        <f>'Price Assumptions'!B7</f>
        <v>23.9</v>
      </c>
      <c r="E38" s="217"/>
      <c r="F38" s="45"/>
      <c r="G38" s="59"/>
      <c r="H38" s="59"/>
      <c r="I38" s="59"/>
      <c r="J38" s="59"/>
      <c r="K38" s="59"/>
      <c r="L38" s="59"/>
      <c r="M38" s="59"/>
      <c r="N38" s="59"/>
      <c r="O38" s="59"/>
      <c r="P38" s="59"/>
      <c r="Q38" s="59"/>
      <c r="R38" s="59"/>
      <c r="S38" s="59"/>
      <c r="T38" s="59"/>
      <c r="U38" s="59"/>
      <c r="V38" s="59"/>
      <c r="W38" s="59"/>
      <c r="X38" s="59"/>
      <c r="Y38" s="59"/>
      <c r="AC38" s="263"/>
      <c r="AD38" s="338"/>
    </row>
    <row r="39" spans="1:30" s="53" customFormat="1" ht="12">
      <c r="A39" s="44"/>
      <c r="C39" s="62" t="s">
        <v>413</v>
      </c>
      <c r="D39" s="253"/>
      <c r="E39" s="217"/>
      <c r="F39" s="285">
        <v>0</v>
      </c>
      <c r="G39" s="316">
        <f t="shared" ref="G39:I39" si="1">$D$38*$D$37*G10</f>
        <v>17487.8418606589</v>
      </c>
      <c r="H39" s="316">
        <f t="shared" si="1"/>
        <v>70749.594069129918</v>
      </c>
      <c r="I39" s="316">
        <f t="shared" si="1"/>
        <v>71547.820695624221</v>
      </c>
      <c r="J39" s="316">
        <f t="shared" ref="J39:AC39" si="2">$D$38*$D$37*J10</f>
        <v>72346.047322118524</v>
      </c>
      <c r="K39" s="316">
        <f t="shared" si="2"/>
        <v>73144.273948612856</v>
      </c>
      <c r="L39" s="316">
        <f t="shared" si="2"/>
        <v>73942.500575107159</v>
      </c>
      <c r="M39" s="316">
        <f t="shared" si="2"/>
        <v>74740.727201601461</v>
      </c>
      <c r="N39" s="316">
        <f t="shared" si="2"/>
        <v>75236.826133408205</v>
      </c>
      <c r="O39" s="316">
        <f t="shared" si="2"/>
        <v>75732.925065214964</v>
      </c>
      <c r="P39" s="316">
        <f t="shared" si="2"/>
        <v>76229.023997021694</v>
      </c>
      <c r="Q39" s="316">
        <f t="shared" si="2"/>
        <v>76725.122928828438</v>
      </c>
      <c r="R39" s="316">
        <f t="shared" si="2"/>
        <v>77221.221860635167</v>
      </c>
      <c r="S39" s="316">
        <f t="shared" si="2"/>
        <v>77717.320792441926</v>
      </c>
      <c r="T39" s="316">
        <f t="shared" si="2"/>
        <v>78213.41972424867</v>
      </c>
      <c r="U39" s="316">
        <f t="shared" si="2"/>
        <v>78709.518656055414</v>
      </c>
      <c r="V39" s="316">
        <f t="shared" si="2"/>
        <v>79205.617587862158</v>
      </c>
      <c r="W39" s="316">
        <f t="shared" si="2"/>
        <v>79701.716519668887</v>
      </c>
      <c r="X39" s="316">
        <f t="shared" si="2"/>
        <v>80230.749589458486</v>
      </c>
      <c r="Y39" s="316">
        <f t="shared" si="2"/>
        <v>80759.782659248114</v>
      </c>
      <c r="Z39" s="316">
        <f t="shared" si="2"/>
        <v>81288.815729037713</v>
      </c>
      <c r="AA39" s="316">
        <f t="shared" si="2"/>
        <v>81817.848798827326</v>
      </c>
      <c r="AB39" s="316">
        <f t="shared" si="2"/>
        <v>82346.88186861694</v>
      </c>
      <c r="AC39" s="317">
        <f t="shared" si="2"/>
        <v>82875.914938406539</v>
      </c>
      <c r="AD39" s="344">
        <f t="shared" si="0"/>
        <v>1717971.5125218339</v>
      </c>
    </row>
    <row r="40" spans="1:30" s="53" customFormat="1" ht="12">
      <c r="A40" s="44"/>
      <c r="B40" s="44"/>
      <c r="D40" s="253"/>
      <c r="E40" s="217"/>
      <c r="G40" s="59"/>
      <c r="H40" s="59"/>
      <c r="I40" s="59"/>
      <c r="J40" s="59"/>
      <c r="K40" s="59"/>
      <c r="L40" s="59"/>
      <c r="M40" s="59"/>
      <c r="N40" s="59"/>
      <c r="O40" s="59"/>
      <c r="P40" s="59"/>
      <c r="Q40" s="59"/>
      <c r="R40" s="59"/>
      <c r="S40" s="59"/>
      <c r="T40" s="59"/>
      <c r="U40" s="59"/>
      <c r="V40" s="59"/>
      <c r="W40" s="59"/>
      <c r="X40" s="59"/>
      <c r="Y40" s="59"/>
      <c r="AC40" s="263"/>
      <c r="AD40" s="338"/>
    </row>
    <row r="41" spans="1:30" s="53" customFormat="1" ht="12">
      <c r="A41" s="44"/>
      <c r="B41" s="250" t="s">
        <v>446</v>
      </c>
      <c r="C41" s="54" t="s">
        <v>409</v>
      </c>
      <c r="D41" s="253"/>
      <c r="E41" s="217"/>
      <c r="F41" s="45">
        <f>F11</f>
        <v>0</v>
      </c>
      <c r="G41" s="102">
        <f t="shared" ref="G41:AC41" si="3">G11</f>
        <v>1053.6607648263102</v>
      </c>
      <c r="H41" s="102">
        <f t="shared" si="3"/>
        <v>4262.7370485166148</v>
      </c>
      <c r="I41" s="102">
        <f t="shared" si="3"/>
        <v>4310.8310377279868</v>
      </c>
      <c r="J41" s="102">
        <f t="shared" si="3"/>
        <v>4358.9250269393597</v>
      </c>
      <c r="K41" s="102">
        <f t="shared" si="3"/>
        <v>4407.0190161507326</v>
      </c>
      <c r="L41" s="102">
        <f t="shared" si="3"/>
        <v>4455.1130053621046</v>
      </c>
      <c r="M41" s="102">
        <f t="shared" si="3"/>
        <v>4503.2069945734775</v>
      </c>
      <c r="N41" s="102">
        <f t="shared" si="3"/>
        <v>4533.0974741467708</v>
      </c>
      <c r="O41" s="102">
        <f t="shared" si="3"/>
        <v>4562.987953720065</v>
      </c>
      <c r="P41" s="102">
        <f t="shared" si="3"/>
        <v>4592.8784332933574</v>
      </c>
      <c r="Q41" s="102">
        <f t="shared" si="3"/>
        <v>4622.7689128666516</v>
      </c>
      <c r="R41" s="102">
        <f t="shared" si="3"/>
        <v>4652.6593924399431</v>
      </c>
      <c r="S41" s="102">
        <f t="shared" si="3"/>
        <v>4682.5498720132373</v>
      </c>
      <c r="T41" s="102">
        <f t="shared" si="3"/>
        <v>4712.4403515865315</v>
      </c>
      <c r="U41" s="102">
        <f t="shared" si="3"/>
        <v>4742.3308311598239</v>
      </c>
      <c r="V41" s="102">
        <f t="shared" si="3"/>
        <v>4772.2213107331172</v>
      </c>
      <c r="W41" s="102">
        <f t="shared" si="3"/>
        <v>4802.1117903064105</v>
      </c>
      <c r="X41" s="102">
        <f t="shared" si="3"/>
        <v>4833.9865861431053</v>
      </c>
      <c r="Y41" s="102">
        <f t="shared" si="3"/>
        <v>4865.8613819798029</v>
      </c>
      <c r="Z41" s="102">
        <f t="shared" si="3"/>
        <v>4897.7361778164986</v>
      </c>
      <c r="AA41" s="102">
        <f t="shared" si="3"/>
        <v>4929.6109736531953</v>
      </c>
      <c r="AB41" s="102">
        <f t="shared" si="3"/>
        <v>4961.485769489891</v>
      </c>
      <c r="AC41" s="267">
        <f t="shared" si="3"/>
        <v>4993.3605653265868</v>
      </c>
      <c r="AD41" s="343">
        <f t="shared" si="0"/>
        <v>103509.58067077157</v>
      </c>
    </row>
    <row r="42" spans="1:30" s="53" customFormat="1" ht="12">
      <c r="A42" s="44"/>
      <c r="B42" s="70"/>
      <c r="C42" s="63" t="s">
        <v>131</v>
      </c>
      <c r="D42" s="253"/>
      <c r="E42" s="217"/>
      <c r="F42" s="45"/>
      <c r="G42" s="45"/>
      <c r="H42" s="45"/>
      <c r="I42" s="45"/>
      <c r="J42" s="45"/>
      <c r="K42" s="45"/>
      <c r="L42" s="45"/>
      <c r="M42" s="45"/>
      <c r="N42" s="45"/>
      <c r="O42" s="45"/>
      <c r="P42" s="45"/>
      <c r="Q42" s="45"/>
      <c r="R42" s="45"/>
      <c r="S42" s="45"/>
      <c r="T42" s="45"/>
      <c r="U42" s="45"/>
      <c r="V42" s="45"/>
      <c r="W42" s="45"/>
      <c r="X42" s="45"/>
      <c r="Y42" s="45"/>
      <c r="Z42" s="45"/>
      <c r="AA42" s="45"/>
      <c r="AB42" s="45"/>
      <c r="AC42" s="263"/>
      <c r="AD42" s="338"/>
    </row>
    <row r="43" spans="1:30" s="53" customFormat="1" ht="12">
      <c r="A43" s="44"/>
      <c r="B43" s="70"/>
      <c r="C43" s="224" t="s">
        <v>387</v>
      </c>
      <c r="D43" s="253" t="s">
        <v>601</v>
      </c>
      <c r="E43" s="217"/>
      <c r="F43" s="298">
        <f>'Mode Operating Assumptions'!D29</f>
        <v>0.39100279786137265</v>
      </c>
      <c r="G43" s="298">
        <f>'Mode Operating Assumptions'!E29</f>
        <v>0.39205714599476826</v>
      </c>
      <c r="H43" s="298">
        <f>'Mode Operating Assumptions'!F29</f>
        <v>0.39311874523828177</v>
      </c>
      <c r="I43" s="298">
        <f>'Mode Operating Assumptions'!G29</f>
        <v>0.39418767065254157</v>
      </c>
      <c r="J43" s="298">
        <f>'Mode Operating Assumptions'!H29</f>
        <v>0.39526399833776032</v>
      </c>
      <c r="K43" s="298">
        <f>'Mode Operating Assumptions'!I29</f>
        <v>0.39634780545179538</v>
      </c>
      <c r="L43" s="298">
        <f>'Mode Operating Assumptions'!J29</f>
        <v>0.39743917022858699</v>
      </c>
      <c r="M43" s="298">
        <f>'Mode Operating Assumptions'!K29</f>
        <v>0.39853817199698321</v>
      </c>
      <c r="N43" s="298">
        <f>'Mode Operating Assumptions'!L29</f>
        <v>0.39964489119996166</v>
      </c>
      <c r="O43" s="298">
        <f>'Mode Operating Assumptions'!M29</f>
        <v>0.40075940941425758</v>
      </c>
      <c r="P43" s="298">
        <f>'Mode Operating Assumptions'!N29</f>
        <v>0.40188180937040846</v>
      </c>
      <c r="Q43" s="298">
        <f>'Mode Operating Assumptions'!O29</f>
        <v>0.40301217497322528</v>
      </c>
      <c r="R43" s="298">
        <f>'Mode Operating Assumptions'!P29</f>
        <v>0.40415059132270104</v>
      </c>
      <c r="S43" s="298">
        <f>'Mode Operating Assumptions'!Q29</f>
        <v>0.40529714473536788</v>
      </c>
      <c r="T43" s="298">
        <f>'Mode Operating Assumptions'!R29</f>
        <v>0.40645192276611369</v>
      </c>
      <c r="U43" s="298">
        <f>'Mode Operating Assumptions'!S29</f>
        <v>0.40761501423047014</v>
      </c>
      <c r="V43" s="298">
        <f>'Mode Operating Assumptions'!T29</f>
        <v>0.40878650922738302</v>
      </c>
      <c r="W43" s="298">
        <f>'Mode Operating Assumptions'!U29</f>
        <v>0.40996649916247907</v>
      </c>
      <c r="X43" s="298">
        <f>'Mode Operating Assumptions'!V29</f>
        <v>0.41115507677183999</v>
      </c>
      <c r="Y43" s="298">
        <f>'Mode Operating Assumptions'!W29</f>
        <v>0.41235233614629774</v>
      </c>
      <c r="Z43" s="298">
        <f>'Mode Operating Assumptions'!X29</f>
        <v>0.41355837275626389</v>
      </c>
      <c r="AA43" s="298">
        <f>'Mode Operating Assumptions'!Y29</f>
        <v>0.41477328347710757</v>
      </c>
      <c r="AB43" s="298">
        <f>'Mode Operating Assumptions'!Z29</f>
        <v>0.415997166615095</v>
      </c>
      <c r="AC43" s="301">
        <f>'Mode Operating Assumptions'!AA29</f>
        <v>0.41723012193390652</v>
      </c>
      <c r="AD43" s="345">
        <f t="shared" si="0"/>
        <v>9.6905878298649686</v>
      </c>
    </row>
    <row r="44" spans="1:30" s="53" customFormat="1" ht="12">
      <c r="A44" s="44"/>
      <c r="B44" s="70"/>
      <c r="C44" s="224" t="s">
        <v>404</v>
      </c>
      <c r="D44" s="248">
        <f>'Mode Operating Assumptions'!C150</f>
        <v>0.38127571701364549</v>
      </c>
      <c r="E44" s="217"/>
      <c r="F44" s="45"/>
      <c r="G44" s="45"/>
      <c r="H44" s="45"/>
      <c r="I44" s="45"/>
      <c r="J44" s="45"/>
      <c r="K44" s="45"/>
      <c r="L44" s="45"/>
      <c r="M44" s="45"/>
      <c r="N44" s="45"/>
      <c r="O44" s="45"/>
      <c r="P44" s="45"/>
      <c r="Q44" s="45"/>
      <c r="R44" s="45"/>
      <c r="S44" s="45"/>
      <c r="T44" s="45"/>
      <c r="U44" s="45"/>
      <c r="V44" s="45"/>
      <c r="W44" s="45"/>
      <c r="X44" s="45"/>
      <c r="Y44" s="45"/>
      <c r="Z44" s="45"/>
      <c r="AA44" s="45"/>
      <c r="AB44" s="45"/>
      <c r="AC44" s="263"/>
      <c r="AD44" s="338"/>
    </row>
    <row r="45" spans="1:30" s="53" customFormat="1" ht="12">
      <c r="A45" s="44"/>
      <c r="B45" s="70"/>
      <c r="C45" s="224" t="s">
        <v>405</v>
      </c>
      <c r="D45" s="248">
        <f>'Mode Operating Assumptions'!C52</f>
        <v>0.234375</v>
      </c>
      <c r="E45" s="217"/>
      <c r="F45" s="45"/>
      <c r="G45" s="45"/>
      <c r="H45" s="45"/>
      <c r="I45" s="45"/>
      <c r="J45" s="45"/>
      <c r="K45" s="45"/>
      <c r="L45" s="45"/>
      <c r="M45" s="45"/>
      <c r="N45" s="45"/>
      <c r="O45" s="45"/>
      <c r="P45" s="45"/>
      <c r="Q45" s="45"/>
      <c r="R45" s="45"/>
      <c r="S45" s="45"/>
      <c r="T45" s="45"/>
      <c r="U45" s="45"/>
      <c r="V45" s="45"/>
      <c r="W45" s="45"/>
      <c r="X45" s="45"/>
      <c r="Y45" s="45"/>
      <c r="Z45" s="45"/>
      <c r="AA45" s="45"/>
      <c r="AB45" s="45"/>
      <c r="AC45" s="263"/>
      <c r="AD45" s="338"/>
    </row>
    <row r="46" spans="1:30" s="53" customFormat="1" ht="12">
      <c r="A46" s="44"/>
      <c r="C46" s="224" t="s">
        <v>384</v>
      </c>
      <c r="D46" s="253">
        <f>'Price Assumptions'!B3</f>
        <v>12.5</v>
      </c>
      <c r="E46" s="217"/>
      <c r="F46" s="45"/>
      <c r="G46" s="45"/>
      <c r="H46" s="45"/>
      <c r="I46" s="45"/>
      <c r="J46" s="45"/>
      <c r="K46" s="45"/>
      <c r="L46" s="45"/>
      <c r="M46" s="45"/>
      <c r="N46" s="45"/>
      <c r="O46" s="45"/>
      <c r="P46" s="45"/>
      <c r="Q46" s="45"/>
      <c r="R46" s="45"/>
      <c r="S46" s="45"/>
      <c r="T46" s="45"/>
      <c r="U46" s="45"/>
      <c r="V46" s="45"/>
      <c r="W46" s="45"/>
      <c r="X46" s="45"/>
      <c r="Y46" s="45"/>
      <c r="Z46" s="45"/>
      <c r="AA46" s="45"/>
      <c r="AB46" s="45"/>
      <c r="AC46" s="263"/>
      <c r="AD46" s="338"/>
    </row>
    <row r="47" spans="1:30" s="53" customFormat="1" ht="12">
      <c r="A47" s="44"/>
      <c r="B47" s="70"/>
      <c r="C47" s="224" t="s">
        <v>385</v>
      </c>
      <c r="D47" s="253">
        <f>'Price Assumptions'!B5</f>
        <v>12.5</v>
      </c>
      <c r="E47" s="217"/>
      <c r="F47" s="45"/>
      <c r="G47" s="45"/>
      <c r="H47" s="45"/>
      <c r="I47" s="45"/>
      <c r="J47" s="45"/>
      <c r="K47" s="45"/>
      <c r="L47" s="45"/>
      <c r="M47" s="45"/>
      <c r="N47" s="45"/>
      <c r="O47" s="45"/>
      <c r="P47" s="45"/>
      <c r="Q47" s="45"/>
      <c r="R47" s="45"/>
      <c r="S47" s="45"/>
      <c r="T47" s="45"/>
      <c r="U47" s="45"/>
      <c r="V47" s="45"/>
      <c r="W47" s="45"/>
      <c r="X47" s="45"/>
      <c r="Y47" s="45"/>
      <c r="Z47" s="45"/>
      <c r="AA47" s="45"/>
      <c r="AB47" s="45"/>
      <c r="AC47" s="263"/>
      <c r="AD47" s="338"/>
    </row>
    <row r="48" spans="1:30" s="53" customFormat="1" ht="12">
      <c r="A48" s="44"/>
      <c r="B48" s="70"/>
      <c r="C48" s="224" t="s">
        <v>403</v>
      </c>
      <c r="D48" s="253">
        <f>D38</f>
        <v>23.9</v>
      </c>
      <c r="E48" s="217"/>
      <c r="F48" s="45"/>
      <c r="G48" s="45"/>
      <c r="H48" s="45"/>
      <c r="I48" s="45"/>
      <c r="J48" s="45"/>
      <c r="K48" s="45"/>
      <c r="L48" s="45"/>
      <c r="M48" s="45"/>
      <c r="N48" s="45"/>
      <c r="O48" s="45"/>
      <c r="P48" s="45"/>
      <c r="Q48" s="45"/>
      <c r="R48" s="45"/>
      <c r="S48" s="45"/>
      <c r="T48" s="45"/>
      <c r="U48" s="45"/>
      <c r="V48" s="45"/>
      <c r="W48" s="45"/>
      <c r="X48" s="45"/>
      <c r="Y48" s="45"/>
      <c r="Z48" s="45"/>
      <c r="AA48" s="45"/>
      <c r="AB48" s="45"/>
      <c r="AC48" s="263"/>
      <c r="AD48" s="338"/>
    </row>
    <row r="49" spans="1:30" s="53" customFormat="1" ht="12">
      <c r="A49" s="44"/>
      <c r="B49" s="70"/>
      <c r="C49" s="78" t="s">
        <v>400</v>
      </c>
      <c r="D49" s="253"/>
      <c r="E49" s="217"/>
      <c r="F49" s="255">
        <f>+(F43*$D$46)-($D$44*$D$47)-($D$45*$D$48)</f>
        <v>-5.479973989403411</v>
      </c>
      <c r="G49" s="255">
        <f>+(G43*$D$46)-($D$44*$D$47)-($D$45*$D$48)</f>
        <v>-5.4667946377359655</v>
      </c>
      <c r="H49" s="255">
        <f t="shared" ref="H49:AC49" si="4">+(H43*$D$46)-($D$44*$D$47)-($D$45*$D$48)</f>
        <v>-5.4535246471920464</v>
      </c>
      <c r="I49" s="255">
        <f t="shared" si="4"/>
        <v>-5.4401630795137992</v>
      </c>
      <c r="J49" s="255">
        <f t="shared" si="4"/>
        <v>-5.4267089834485649</v>
      </c>
      <c r="K49" s="255">
        <f t="shared" si="4"/>
        <v>-5.4131613945231267</v>
      </c>
      <c r="L49" s="255">
        <f t="shared" si="4"/>
        <v>-5.399519334813232</v>
      </c>
      <c r="M49" s="255">
        <f t="shared" si="4"/>
        <v>-5.385781812708279</v>
      </c>
      <c r="N49" s="255">
        <f t="shared" si="4"/>
        <v>-5.3719478226710482</v>
      </c>
      <c r="O49" s="255">
        <f t="shared" si="4"/>
        <v>-5.3580163449923495</v>
      </c>
      <c r="P49" s="255">
        <f t="shared" si="4"/>
        <v>-5.343986345540463</v>
      </c>
      <c r="Q49" s="255">
        <f t="shared" si="4"/>
        <v>-5.3298567755052533</v>
      </c>
      <c r="R49" s="255">
        <f t="shared" si="4"/>
        <v>-5.3156265711368063</v>
      </c>
      <c r="S49" s="255">
        <f t="shared" si="4"/>
        <v>-5.3012946534784708</v>
      </c>
      <c r="T49" s="255">
        <f t="shared" si="4"/>
        <v>-5.286859928094148</v>
      </c>
      <c r="U49" s="255">
        <f t="shared" si="4"/>
        <v>-5.2723212847896921</v>
      </c>
      <c r="V49" s="255">
        <f t="shared" si="4"/>
        <v>-5.2576775973282812</v>
      </c>
      <c r="W49" s="255">
        <f t="shared" si="4"/>
        <v>-5.242927723139581</v>
      </c>
      <c r="X49" s="255">
        <f t="shared" si="4"/>
        <v>-5.2280705030225691</v>
      </c>
      <c r="Y49" s="255">
        <f t="shared" si="4"/>
        <v>-5.2131047608418468</v>
      </c>
      <c r="Z49" s="255">
        <f t="shared" si="4"/>
        <v>-5.19802930321727</v>
      </c>
      <c r="AA49" s="255">
        <f t="shared" si="4"/>
        <v>-5.182842919206724</v>
      </c>
      <c r="AB49" s="255">
        <f t="shared" si="4"/>
        <v>-5.167544379981881</v>
      </c>
      <c r="AC49" s="268">
        <f t="shared" si="4"/>
        <v>-5.1521324384967375</v>
      </c>
      <c r="AD49" s="346">
        <f t="shared" si="0"/>
        <v>-127.68786723078153</v>
      </c>
    </row>
    <row r="50" spans="1:30" s="53" customFormat="1" ht="12">
      <c r="A50" s="44"/>
      <c r="B50" s="70"/>
      <c r="D50" s="253"/>
      <c r="E50" s="217"/>
      <c r="F50" s="255">
        <f>F49*F41</f>
        <v>0</v>
      </c>
      <c r="G50" s="255">
        <f t="shared" ref="G50:AC50" si="5">G49*G41</f>
        <v>-5760.147019145249</v>
      </c>
      <c r="H50" s="255">
        <f t="shared" si="5"/>
        <v>-23246.941558584036</v>
      </c>
      <c r="I50" s="255">
        <f t="shared" si="5"/>
        <v>-23451.623853469951</v>
      </c>
      <c r="J50" s="255">
        <f t="shared" si="5"/>
        <v>-23654.617601870599</v>
      </c>
      <c r="K50" s="255">
        <f t="shared" si="5"/>
        <v>-23855.905203156439</v>
      </c>
      <c r="L50" s="255">
        <f t="shared" si="5"/>
        <v>-24055.46881123057</v>
      </c>
      <c r="M50" s="255">
        <f t="shared" si="5"/>
        <v>-24253.290330234544</v>
      </c>
      <c r="N50" s="255">
        <f t="shared" si="5"/>
        <v>-24351.563106198373</v>
      </c>
      <c r="O50" s="255">
        <f t="shared" si="5"/>
        <v>-24448.564038035303</v>
      </c>
      <c r="P50" s="255">
        <f t="shared" si="5"/>
        <v>-24544.279634246977</v>
      </c>
      <c r="Q50" s="255">
        <f t="shared" si="5"/>
        <v>-24638.696211837378</v>
      </c>
      <c r="R50" s="255">
        <f t="shared" si="5"/>
        <v>-24731.799892902989</v>
      </c>
      <c r="S50" s="255">
        <f t="shared" si="5"/>
        <v>-24823.576601150075</v>
      </c>
      <c r="T50" s="255">
        <f t="shared" si="5"/>
        <v>-24914.012058336732</v>
      </c>
      <c r="U50" s="255">
        <f t="shared" si="5"/>
        <v>-25003.09178063833</v>
      </c>
      <c r="V50" s="255">
        <f t="shared" si="5"/>
        <v>-25090.801074934116</v>
      </c>
      <c r="W50" s="255">
        <f t="shared" si="5"/>
        <v>-25177.125035012927</v>
      </c>
      <c r="X50" s="255">
        <f t="shared" si="5"/>
        <v>-25272.422683021538</v>
      </c>
      <c r="Y50" s="255">
        <f t="shared" si="5"/>
        <v>-25366.245135995399</v>
      </c>
      <c r="Z50" s="255">
        <f t="shared" si="5"/>
        <v>-25458.576171717508</v>
      </c>
      <c r="AA50" s="255">
        <f t="shared" si="5"/>
        <v>-25549.399329242227</v>
      </c>
      <c r="AB50" s="255">
        <f t="shared" si="5"/>
        <v>-25638.697904487566</v>
      </c>
      <c r="AC50" s="268">
        <f t="shared" si="5"/>
        <v>-25726.454945729514</v>
      </c>
      <c r="AD50" s="346">
        <f t="shared" ref="AD50:AD85" si="6">SUM(F50:AC50)</f>
        <v>-549013.29998117837</v>
      </c>
    </row>
    <row r="51" spans="1:30" s="53" customFormat="1" ht="12">
      <c r="A51" s="44"/>
      <c r="B51" s="70"/>
      <c r="C51" s="62" t="s">
        <v>413</v>
      </c>
      <c r="D51" s="210"/>
      <c r="E51" s="217"/>
      <c r="F51" s="289">
        <f>F50</f>
        <v>0</v>
      </c>
      <c r="G51" s="289">
        <f t="shared" ref="G51:AC51" si="7">G50</f>
        <v>-5760.147019145249</v>
      </c>
      <c r="H51" s="289">
        <f t="shared" si="7"/>
        <v>-23246.941558584036</v>
      </c>
      <c r="I51" s="289">
        <f t="shared" si="7"/>
        <v>-23451.623853469951</v>
      </c>
      <c r="J51" s="289">
        <f t="shared" si="7"/>
        <v>-23654.617601870599</v>
      </c>
      <c r="K51" s="289">
        <f t="shared" si="7"/>
        <v>-23855.905203156439</v>
      </c>
      <c r="L51" s="289">
        <f t="shared" si="7"/>
        <v>-24055.46881123057</v>
      </c>
      <c r="M51" s="289">
        <f t="shared" si="7"/>
        <v>-24253.290330234544</v>
      </c>
      <c r="N51" s="289">
        <f t="shared" si="7"/>
        <v>-24351.563106198373</v>
      </c>
      <c r="O51" s="289">
        <f t="shared" si="7"/>
        <v>-24448.564038035303</v>
      </c>
      <c r="P51" s="289">
        <f t="shared" si="7"/>
        <v>-24544.279634246977</v>
      </c>
      <c r="Q51" s="289">
        <f t="shared" si="7"/>
        <v>-24638.696211837378</v>
      </c>
      <c r="R51" s="289">
        <f t="shared" si="7"/>
        <v>-24731.799892902989</v>
      </c>
      <c r="S51" s="289">
        <f t="shared" si="7"/>
        <v>-24823.576601150075</v>
      </c>
      <c r="T51" s="289">
        <f t="shared" si="7"/>
        <v>-24914.012058336732</v>
      </c>
      <c r="U51" s="289">
        <f t="shared" si="7"/>
        <v>-25003.09178063833</v>
      </c>
      <c r="V51" s="289">
        <f t="shared" si="7"/>
        <v>-25090.801074934116</v>
      </c>
      <c r="W51" s="289">
        <f t="shared" si="7"/>
        <v>-25177.125035012927</v>
      </c>
      <c r="X51" s="289">
        <f t="shared" si="7"/>
        <v>-25272.422683021538</v>
      </c>
      <c r="Y51" s="289">
        <f t="shared" si="7"/>
        <v>-25366.245135995399</v>
      </c>
      <c r="Z51" s="289">
        <f t="shared" si="7"/>
        <v>-25458.576171717508</v>
      </c>
      <c r="AA51" s="289">
        <f t="shared" si="7"/>
        <v>-25549.399329242227</v>
      </c>
      <c r="AB51" s="289">
        <f t="shared" si="7"/>
        <v>-25638.697904487566</v>
      </c>
      <c r="AC51" s="318">
        <f t="shared" si="7"/>
        <v>-25726.454945729514</v>
      </c>
      <c r="AD51" s="347">
        <f t="shared" si="6"/>
        <v>-549013.29998117837</v>
      </c>
    </row>
    <row r="52" spans="1:30" s="53" customFormat="1" ht="12">
      <c r="A52" s="44"/>
      <c r="B52" s="70"/>
      <c r="D52" s="210"/>
      <c r="E52" s="217"/>
      <c r="F52" s="233"/>
      <c r="G52" s="233"/>
      <c r="H52" s="233"/>
      <c r="I52" s="233"/>
      <c r="J52" s="233"/>
      <c r="K52" s="233"/>
      <c r="L52" s="233"/>
      <c r="M52" s="233"/>
      <c r="N52" s="233"/>
      <c r="O52" s="233"/>
      <c r="P52" s="233"/>
      <c r="Q52" s="233"/>
      <c r="R52" s="233"/>
      <c r="S52" s="233"/>
      <c r="T52" s="233"/>
      <c r="U52" s="233"/>
      <c r="V52" s="233"/>
      <c r="W52" s="233"/>
      <c r="X52" s="233"/>
      <c r="Y52" s="233"/>
      <c r="Z52" s="233"/>
      <c r="AA52" s="233"/>
      <c r="AB52" s="233"/>
      <c r="AC52" s="266"/>
      <c r="AD52" s="348"/>
    </row>
    <row r="53" spans="1:30" s="53" customFormat="1" ht="12">
      <c r="A53" s="44"/>
      <c r="B53" s="70"/>
      <c r="C53" s="63" t="s">
        <v>149</v>
      </c>
      <c r="D53" s="210"/>
      <c r="E53" s="217"/>
      <c r="F53" s="233"/>
      <c r="G53" s="233"/>
      <c r="H53" s="233"/>
      <c r="I53" s="233"/>
      <c r="J53" s="233"/>
      <c r="K53" s="233"/>
      <c r="L53" s="233"/>
      <c r="M53" s="233"/>
      <c r="N53" s="233"/>
      <c r="O53" s="233"/>
      <c r="P53" s="233"/>
      <c r="Q53" s="233"/>
      <c r="R53" s="233"/>
      <c r="S53" s="233"/>
      <c r="T53" s="233"/>
      <c r="U53" s="233"/>
      <c r="V53" s="233"/>
      <c r="W53" s="233"/>
      <c r="X53" s="233"/>
      <c r="Y53" s="233"/>
      <c r="Z53" s="233"/>
      <c r="AA53" s="233"/>
      <c r="AB53" s="233"/>
      <c r="AC53" s="266"/>
      <c r="AD53" s="348"/>
    </row>
    <row r="54" spans="1:30" s="53" customFormat="1" ht="12">
      <c r="A54" s="44"/>
      <c r="B54" s="70"/>
      <c r="C54" s="224" t="s">
        <v>472</v>
      </c>
      <c r="D54" s="253">
        <f>'Mode Operating Assumptions'!C33</f>
        <v>8.1905000000000001</v>
      </c>
      <c r="E54" s="217"/>
      <c r="F54" s="233"/>
      <c r="G54" s="233"/>
      <c r="H54" s="233"/>
      <c r="I54" s="233"/>
      <c r="J54" s="233"/>
      <c r="K54" s="233"/>
      <c r="L54" s="233"/>
      <c r="M54" s="233"/>
      <c r="N54" s="233"/>
      <c r="O54" s="233"/>
      <c r="P54" s="233"/>
      <c r="Q54" s="233"/>
      <c r="R54" s="233"/>
      <c r="S54" s="233"/>
      <c r="T54" s="233"/>
      <c r="U54" s="233"/>
      <c r="V54" s="233"/>
      <c r="W54" s="233"/>
      <c r="X54" s="233"/>
      <c r="Y54" s="233"/>
      <c r="Z54" s="233"/>
      <c r="AA54" s="233"/>
      <c r="AB54" s="233"/>
      <c r="AC54" s="266"/>
      <c r="AD54" s="348"/>
    </row>
    <row r="55" spans="1:30" s="53" customFormat="1" ht="12">
      <c r="A55" s="44"/>
      <c r="B55" s="70"/>
      <c r="C55" s="225" t="s">
        <v>461</v>
      </c>
      <c r="D55" s="253">
        <f>'Mode Operating Assumptions'!C153</f>
        <v>2.107407271835358</v>
      </c>
      <c r="E55" s="217"/>
      <c r="F55" s="233"/>
      <c r="G55" s="233"/>
      <c r="H55" s="233"/>
      <c r="I55" s="233"/>
      <c r="J55" s="233"/>
      <c r="K55" s="233"/>
      <c r="L55" s="233"/>
      <c r="M55" s="233"/>
      <c r="N55" s="233"/>
      <c r="O55" s="233"/>
      <c r="P55" s="233"/>
      <c r="Q55" s="233"/>
      <c r="R55" s="233"/>
      <c r="S55" s="233"/>
      <c r="T55" s="233"/>
      <c r="U55" s="233"/>
      <c r="V55" s="233"/>
      <c r="W55" s="233"/>
      <c r="X55" s="233"/>
      <c r="Y55" s="233"/>
      <c r="Z55" s="233"/>
      <c r="AA55" s="233"/>
      <c r="AB55" s="233"/>
      <c r="AC55" s="266"/>
      <c r="AD55" s="348"/>
    </row>
    <row r="56" spans="1:30" s="53" customFormat="1" ht="12">
      <c r="A56" s="44"/>
      <c r="B56" s="70"/>
      <c r="C56" s="224" t="s">
        <v>473</v>
      </c>
      <c r="D56" s="253">
        <v>0.05</v>
      </c>
      <c r="E56" s="217"/>
      <c r="F56" s="233"/>
      <c r="G56" s="233"/>
      <c r="H56" s="233"/>
      <c r="I56" s="233"/>
      <c r="J56" s="233"/>
      <c r="K56" s="233"/>
      <c r="L56" s="233"/>
      <c r="M56" s="233"/>
      <c r="N56" s="233"/>
      <c r="O56" s="233"/>
      <c r="P56" s="233"/>
      <c r="Q56" s="233"/>
      <c r="R56" s="233"/>
      <c r="S56" s="233"/>
      <c r="T56" s="233"/>
      <c r="U56" s="233"/>
      <c r="V56" s="233"/>
      <c r="W56" s="233"/>
      <c r="X56" s="233"/>
      <c r="Y56" s="233"/>
      <c r="Z56" s="233"/>
      <c r="AA56" s="233"/>
      <c r="AB56" s="233"/>
      <c r="AC56" s="266"/>
      <c r="AD56" s="348"/>
    </row>
    <row r="57" spans="1:30" s="53" customFormat="1" ht="12">
      <c r="A57" s="44"/>
      <c r="B57" s="70"/>
      <c r="C57" s="78" t="s">
        <v>474</v>
      </c>
      <c r="D57" s="253">
        <f>+D54-D55-D56</f>
        <v>6.0330927281646423</v>
      </c>
      <c r="E57" s="217"/>
      <c r="F57" s="255">
        <f t="shared" ref="F57:AC57" si="8">$D57*F41</f>
        <v>0</v>
      </c>
      <c r="G57" s="255">
        <f t="shared" si="8"/>
        <v>6356.8330982260077</v>
      </c>
      <c r="H57" s="255">
        <f t="shared" si="8"/>
        <v>25717.4878894836</v>
      </c>
      <c r="I57" s="255">
        <f t="shared" si="8"/>
        <v>26007.643386063155</v>
      </c>
      <c r="J57" s="255">
        <f t="shared" si="8"/>
        <v>26297.798882642717</v>
      </c>
      <c r="K57" s="255">
        <f t="shared" si="8"/>
        <v>26587.954379222279</v>
      </c>
      <c r="L57" s="255">
        <f t="shared" si="8"/>
        <v>26878.109875801838</v>
      </c>
      <c r="M57" s="255">
        <f t="shared" si="8"/>
        <v>27168.2653723814</v>
      </c>
      <c r="N57" s="255">
        <f t="shared" si="8"/>
        <v>27348.59740733639</v>
      </c>
      <c r="O57" s="255">
        <f t="shared" si="8"/>
        <v>27528.929442291384</v>
      </c>
      <c r="P57" s="255">
        <f t="shared" si="8"/>
        <v>27709.261477246368</v>
      </c>
      <c r="Q57" s="255">
        <f t="shared" si="8"/>
        <v>27889.593512201365</v>
      </c>
      <c r="R57" s="255">
        <f t="shared" si="8"/>
        <v>28069.925547156345</v>
      </c>
      <c r="S57" s="255">
        <f t="shared" si="8"/>
        <v>28250.257582111339</v>
      </c>
      <c r="T57" s="255">
        <f t="shared" si="8"/>
        <v>28430.589617066333</v>
      </c>
      <c r="U57" s="255">
        <f t="shared" si="8"/>
        <v>28610.921652021316</v>
      </c>
      <c r="V57" s="255">
        <f t="shared" si="8"/>
        <v>28791.253686976306</v>
      </c>
      <c r="W57" s="255">
        <f t="shared" si="8"/>
        <v>28971.585721931297</v>
      </c>
      <c r="X57" s="255">
        <f t="shared" si="8"/>
        <v>29163.889320905393</v>
      </c>
      <c r="Y57" s="255">
        <f t="shared" si="8"/>
        <v>29356.192919879504</v>
      </c>
      <c r="Z57" s="255">
        <f t="shared" si="8"/>
        <v>29548.496518853608</v>
      </c>
      <c r="AA57" s="255">
        <f t="shared" si="8"/>
        <v>29740.800117827715</v>
      </c>
      <c r="AB57" s="255">
        <f t="shared" si="8"/>
        <v>29933.103716801816</v>
      </c>
      <c r="AC57" s="268">
        <f t="shared" si="8"/>
        <v>30125.407315775919</v>
      </c>
      <c r="AD57" s="346">
        <f t="shared" si="6"/>
        <v>624482.8984402034</v>
      </c>
    </row>
    <row r="58" spans="1:30" s="53" customFormat="1" ht="12">
      <c r="A58" s="44"/>
      <c r="B58" s="70"/>
      <c r="C58" s="62" t="s">
        <v>414</v>
      </c>
      <c r="D58" s="210"/>
      <c r="E58" s="217"/>
      <c r="F58" s="289">
        <f>F57</f>
        <v>0</v>
      </c>
      <c r="G58" s="289">
        <f t="shared" ref="G58:AC58" si="9">G57</f>
        <v>6356.8330982260077</v>
      </c>
      <c r="H58" s="289">
        <f t="shared" si="9"/>
        <v>25717.4878894836</v>
      </c>
      <c r="I58" s="289">
        <f t="shared" si="9"/>
        <v>26007.643386063155</v>
      </c>
      <c r="J58" s="289">
        <f t="shared" si="9"/>
        <v>26297.798882642717</v>
      </c>
      <c r="K58" s="289">
        <f t="shared" si="9"/>
        <v>26587.954379222279</v>
      </c>
      <c r="L58" s="289">
        <f t="shared" si="9"/>
        <v>26878.109875801838</v>
      </c>
      <c r="M58" s="289">
        <f t="shared" si="9"/>
        <v>27168.2653723814</v>
      </c>
      <c r="N58" s="289">
        <f t="shared" si="9"/>
        <v>27348.59740733639</v>
      </c>
      <c r="O58" s="289">
        <f t="shared" si="9"/>
        <v>27528.929442291384</v>
      </c>
      <c r="P58" s="289">
        <f t="shared" si="9"/>
        <v>27709.261477246368</v>
      </c>
      <c r="Q58" s="289">
        <f t="shared" si="9"/>
        <v>27889.593512201365</v>
      </c>
      <c r="R58" s="289">
        <f t="shared" si="9"/>
        <v>28069.925547156345</v>
      </c>
      <c r="S58" s="289">
        <f t="shared" si="9"/>
        <v>28250.257582111339</v>
      </c>
      <c r="T58" s="289">
        <f t="shared" si="9"/>
        <v>28430.589617066333</v>
      </c>
      <c r="U58" s="289">
        <f t="shared" si="9"/>
        <v>28610.921652021316</v>
      </c>
      <c r="V58" s="289">
        <f t="shared" si="9"/>
        <v>28791.253686976306</v>
      </c>
      <c r="W58" s="289">
        <f t="shared" si="9"/>
        <v>28971.585721931297</v>
      </c>
      <c r="X58" s="289">
        <f t="shared" si="9"/>
        <v>29163.889320905393</v>
      </c>
      <c r="Y58" s="289">
        <f t="shared" si="9"/>
        <v>29356.192919879504</v>
      </c>
      <c r="Z58" s="289">
        <f t="shared" si="9"/>
        <v>29548.496518853608</v>
      </c>
      <c r="AA58" s="289">
        <f t="shared" si="9"/>
        <v>29740.800117827715</v>
      </c>
      <c r="AB58" s="289">
        <f t="shared" si="9"/>
        <v>29933.103716801816</v>
      </c>
      <c r="AC58" s="318">
        <f t="shared" si="9"/>
        <v>30125.407315775919</v>
      </c>
      <c r="AD58" s="347">
        <f t="shared" si="6"/>
        <v>624482.8984402034</v>
      </c>
    </row>
    <row r="59" spans="1:30" s="53" customFormat="1" ht="12">
      <c r="A59" s="44"/>
      <c r="B59" s="70"/>
      <c r="C59" s="108"/>
      <c r="D59" s="210"/>
      <c r="E59" s="217"/>
      <c r="F59" s="45"/>
      <c r="G59" s="62"/>
      <c r="H59" s="59"/>
      <c r="I59" s="59"/>
      <c r="J59" s="59"/>
      <c r="K59" s="59"/>
      <c r="L59" s="59"/>
      <c r="M59" s="59"/>
      <c r="N59" s="59"/>
      <c r="O59" s="59"/>
      <c r="P59" s="59"/>
      <c r="Q59" s="59"/>
      <c r="R59" s="59"/>
      <c r="S59" s="59"/>
      <c r="T59" s="59"/>
      <c r="U59" s="59"/>
      <c r="V59" s="59"/>
      <c r="W59" s="59"/>
      <c r="X59" s="59"/>
      <c r="Y59" s="59"/>
      <c r="AC59" s="263"/>
      <c r="AD59" s="338"/>
    </row>
    <row r="60" spans="1:30" s="53" customFormat="1" ht="12">
      <c r="A60" s="44"/>
      <c r="B60" s="5" t="s">
        <v>261</v>
      </c>
      <c r="C60" s="55"/>
      <c r="D60" s="210"/>
      <c r="E60" s="217"/>
      <c r="F60" s="45"/>
      <c r="G60" s="59"/>
      <c r="H60" s="59"/>
      <c r="I60" s="59"/>
      <c r="J60" s="59"/>
      <c r="K60" s="59"/>
      <c r="L60" s="59"/>
      <c r="M60" s="59"/>
      <c r="N60" s="59"/>
      <c r="O60" s="59"/>
      <c r="P60" s="59"/>
      <c r="Q60" s="59"/>
      <c r="R60" s="59"/>
      <c r="S60" s="59"/>
      <c r="T60" s="59"/>
      <c r="U60" s="59"/>
      <c r="V60" s="59"/>
      <c r="W60" s="59"/>
      <c r="X60" s="59"/>
      <c r="Y60" s="59"/>
      <c r="AC60" s="263"/>
      <c r="AD60" s="338"/>
    </row>
    <row r="61" spans="1:30" s="53" customFormat="1" ht="12">
      <c r="A61" s="44"/>
      <c r="B61" s="70" t="s">
        <v>447</v>
      </c>
      <c r="C61" s="70" t="s">
        <v>350</v>
      </c>
      <c r="D61" s="210"/>
      <c r="E61" s="217"/>
      <c r="F61" s="45"/>
      <c r="G61" s="59"/>
      <c r="H61" s="59"/>
      <c r="I61" s="59"/>
      <c r="J61" s="59"/>
      <c r="K61" s="59"/>
      <c r="L61" s="59"/>
      <c r="M61" s="59"/>
      <c r="N61" s="59"/>
      <c r="O61" s="59"/>
      <c r="P61" s="59"/>
      <c r="Q61" s="59"/>
      <c r="R61" s="59"/>
      <c r="S61" s="59"/>
      <c r="T61" s="59"/>
      <c r="U61" s="59"/>
      <c r="V61" s="59"/>
      <c r="W61" s="59"/>
      <c r="X61" s="59"/>
      <c r="Y61" s="59"/>
      <c r="AC61" s="263"/>
      <c r="AD61" s="338"/>
    </row>
    <row r="62" spans="1:30" s="53" customFormat="1" ht="12">
      <c r="A62" s="44"/>
      <c r="C62" s="63" t="s">
        <v>131</v>
      </c>
      <c r="D62" s="210"/>
      <c r="E62" s="217"/>
      <c r="F62" s="45"/>
      <c r="G62" s="59"/>
      <c r="H62" s="59"/>
      <c r="I62" s="59"/>
      <c r="J62" s="59"/>
      <c r="K62" s="59"/>
      <c r="L62" s="59"/>
      <c r="M62" s="59"/>
      <c r="N62" s="59"/>
      <c r="O62" s="59"/>
      <c r="P62" s="59"/>
      <c r="Q62" s="59"/>
      <c r="R62" s="59"/>
      <c r="S62" s="59"/>
      <c r="T62" s="59"/>
      <c r="U62" s="59"/>
      <c r="V62" s="59"/>
      <c r="W62" s="59"/>
      <c r="X62" s="59"/>
      <c r="Y62" s="59"/>
      <c r="AC62" s="263"/>
      <c r="AD62" s="338"/>
    </row>
    <row r="63" spans="1:30" s="53" customFormat="1" ht="12">
      <c r="A63" s="44"/>
      <c r="B63" s="70"/>
      <c r="C63" s="226" t="s">
        <v>383</v>
      </c>
      <c r="D63" s="248">
        <f>15/60</f>
        <v>0.25</v>
      </c>
      <c r="E63" s="217"/>
      <c r="F63" s="45"/>
      <c r="G63" s="59"/>
      <c r="H63" s="59"/>
      <c r="I63" s="59"/>
      <c r="J63" s="59"/>
      <c r="K63" s="59"/>
      <c r="L63" s="59"/>
      <c r="M63" s="59"/>
      <c r="N63" s="59"/>
      <c r="O63" s="59"/>
      <c r="P63" s="59"/>
      <c r="Q63" s="59"/>
      <c r="R63" s="59"/>
      <c r="S63" s="59"/>
      <c r="T63" s="59"/>
      <c r="U63" s="59"/>
      <c r="V63" s="59"/>
      <c r="W63" s="59"/>
      <c r="X63" s="59"/>
      <c r="Y63" s="59"/>
      <c r="AC63" s="263"/>
      <c r="AD63" s="338"/>
    </row>
    <row r="64" spans="1:30" s="53" customFormat="1" ht="12">
      <c r="A64" s="44"/>
      <c r="B64" s="70"/>
      <c r="C64" s="224" t="s">
        <v>422</v>
      </c>
      <c r="D64" s="223">
        <f>'Price Assumptions'!$B$3</f>
        <v>12.5</v>
      </c>
      <c r="E64" s="217"/>
      <c r="F64" s="45"/>
      <c r="G64" s="59"/>
      <c r="H64" s="59"/>
      <c r="I64" s="59"/>
      <c r="J64" s="59"/>
      <c r="K64" s="59"/>
      <c r="L64" s="59"/>
      <c r="M64" s="59"/>
      <c r="N64" s="59"/>
      <c r="O64" s="59"/>
      <c r="P64" s="59"/>
      <c r="Q64" s="59"/>
      <c r="R64" s="59"/>
      <c r="S64" s="59"/>
      <c r="T64" s="59"/>
      <c r="U64" s="59"/>
      <c r="V64" s="59"/>
      <c r="W64" s="59"/>
      <c r="X64" s="59"/>
      <c r="Y64" s="59"/>
      <c r="AC64" s="263"/>
      <c r="AD64" s="338"/>
    </row>
    <row r="65" spans="1:30" s="53" customFormat="1" ht="12">
      <c r="A65" s="44"/>
      <c r="B65" s="70"/>
      <c r="C65" s="62" t="s">
        <v>413</v>
      </c>
      <c r="D65" s="210"/>
      <c r="E65" s="217"/>
      <c r="F65" s="285">
        <f>($D$63/3600)*$D$64*F15</f>
        <v>0</v>
      </c>
      <c r="G65" s="285">
        <f>($D$63/3600)*$D$64*G15</f>
        <v>4.4272171302837515</v>
      </c>
      <c r="H65" s="285">
        <f t="shared" ref="H65:AC65" si="10">($D$63/3600)*$D$64*H15</f>
        <v>17.91094734954746</v>
      </c>
      <c r="I65" s="285">
        <f t="shared" si="10"/>
        <v>18.113026177959913</v>
      </c>
      <c r="J65" s="285">
        <f t="shared" si="10"/>
        <v>18.315105006372367</v>
      </c>
      <c r="K65" s="285">
        <f t="shared" si="10"/>
        <v>18.51718383478482</v>
      </c>
      <c r="L65" s="285">
        <f t="shared" si="10"/>
        <v>18.719262663197274</v>
      </c>
      <c r="M65" s="285">
        <f t="shared" si="10"/>
        <v>18.921341491609727</v>
      </c>
      <c r="N65" s="285">
        <f t="shared" si="10"/>
        <v>19.046933757751564</v>
      </c>
      <c r="O65" s="285">
        <f t="shared" si="10"/>
        <v>19.172526023893408</v>
      </c>
      <c r="P65" s="285">
        <f t="shared" si="10"/>
        <v>19.298118290035248</v>
      </c>
      <c r="Q65" s="285">
        <f t="shared" si="10"/>
        <v>19.423710556177092</v>
      </c>
      <c r="R65" s="285">
        <f t="shared" si="10"/>
        <v>19.549302822318925</v>
      </c>
      <c r="S65" s="285">
        <f t="shared" si="10"/>
        <v>19.674895088460769</v>
      </c>
      <c r="T65" s="285">
        <f t="shared" si="10"/>
        <v>19.800487354602609</v>
      </c>
      <c r="U65" s="285">
        <f t="shared" si="10"/>
        <v>19.926079620744449</v>
      </c>
      <c r="V65" s="285">
        <f t="shared" si="10"/>
        <v>20.05167188688629</v>
      </c>
      <c r="W65" s="285">
        <f t="shared" si="10"/>
        <v>20.177264153028126</v>
      </c>
      <c r="X65" s="285">
        <f t="shared" si="10"/>
        <v>20.311194016285189</v>
      </c>
      <c r="Y65" s="285">
        <f t="shared" si="10"/>
        <v>20.445123879542251</v>
      </c>
      <c r="Z65" s="285">
        <f t="shared" si="10"/>
        <v>20.57905374279931</v>
      </c>
      <c r="AA65" s="285">
        <f t="shared" si="10"/>
        <v>20.712983606056373</v>
      </c>
      <c r="AB65" s="285">
        <f t="shared" si="10"/>
        <v>20.846913469313431</v>
      </c>
      <c r="AC65" s="286">
        <f t="shared" si="10"/>
        <v>20.98084333257049</v>
      </c>
      <c r="AD65" s="349">
        <f t="shared" si="6"/>
        <v>434.92118525422086</v>
      </c>
    </row>
    <row r="66" spans="1:30" s="53" customFormat="1" ht="12">
      <c r="A66" s="44"/>
      <c r="B66" s="70"/>
      <c r="D66" s="210"/>
      <c r="E66" s="217"/>
      <c r="F66" s="45"/>
      <c r="G66" s="59"/>
      <c r="H66" s="59"/>
      <c r="I66" s="59"/>
      <c r="J66" s="59"/>
      <c r="K66" s="59"/>
      <c r="L66" s="59"/>
      <c r="M66" s="59"/>
      <c r="N66" s="59"/>
      <c r="O66" s="59"/>
      <c r="P66" s="59"/>
      <c r="Q66" s="59"/>
      <c r="R66" s="59"/>
      <c r="S66" s="59"/>
      <c r="T66" s="59"/>
      <c r="U66" s="59"/>
      <c r="V66" s="59"/>
      <c r="W66" s="59"/>
      <c r="X66" s="59"/>
      <c r="Y66" s="59"/>
      <c r="AC66" s="263"/>
      <c r="AD66" s="338"/>
    </row>
    <row r="67" spans="1:30" s="53" customFormat="1" ht="12">
      <c r="A67" s="44"/>
      <c r="B67" s="70"/>
      <c r="D67" s="210"/>
      <c r="E67" s="217"/>
      <c r="F67" s="45"/>
      <c r="G67" s="59"/>
      <c r="H67" s="59"/>
      <c r="I67" s="59"/>
      <c r="J67" s="59"/>
      <c r="K67" s="59"/>
      <c r="L67" s="59"/>
      <c r="M67" s="59"/>
      <c r="N67" s="59"/>
      <c r="O67" s="59"/>
      <c r="P67" s="59"/>
      <c r="Q67" s="59"/>
      <c r="R67" s="59"/>
      <c r="S67" s="59"/>
      <c r="T67" s="59"/>
      <c r="U67" s="59"/>
      <c r="V67" s="59"/>
      <c r="W67" s="59"/>
      <c r="X67" s="59"/>
      <c r="Y67" s="59"/>
      <c r="AC67" s="263"/>
      <c r="AD67" s="338"/>
    </row>
    <row r="68" spans="1:30" s="53" customFormat="1" ht="12">
      <c r="A68" s="44"/>
      <c r="B68" s="250" t="s">
        <v>446</v>
      </c>
      <c r="C68" s="54" t="s">
        <v>410</v>
      </c>
      <c r="D68" s="210"/>
      <c r="E68" s="217"/>
      <c r="F68" s="45">
        <f>F16</f>
        <v>0</v>
      </c>
      <c r="G68" s="244">
        <f t="shared" ref="G68:AC68" si="11">G16</f>
        <v>510.01541340868818</v>
      </c>
      <c r="H68" s="244">
        <f t="shared" si="11"/>
        <v>2063.3411346678672</v>
      </c>
      <c r="I68" s="244">
        <f t="shared" si="11"/>
        <v>2086.6206157009819</v>
      </c>
      <c r="J68" s="244">
        <f t="shared" si="11"/>
        <v>2109.9000967340967</v>
      </c>
      <c r="K68" s="244">
        <f t="shared" si="11"/>
        <v>2133.1795777672119</v>
      </c>
      <c r="L68" s="244">
        <f t="shared" si="11"/>
        <v>2156.4590588003261</v>
      </c>
      <c r="M68" s="244">
        <f t="shared" si="11"/>
        <v>2179.7385398334409</v>
      </c>
      <c r="N68" s="244">
        <f t="shared" si="11"/>
        <v>2194.2067688929806</v>
      </c>
      <c r="O68" s="244">
        <f t="shared" si="11"/>
        <v>2208.6749979525207</v>
      </c>
      <c r="P68" s="244">
        <f t="shared" si="11"/>
        <v>2223.1432270120608</v>
      </c>
      <c r="Q68" s="244">
        <f t="shared" si="11"/>
        <v>2237.611456071601</v>
      </c>
      <c r="R68" s="244">
        <f t="shared" si="11"/>
        <v>2252.0796851311402</v>
      </c>
      <c r="S68" s="244">
        <f t="shared" si="11"/>
        <v>2266.5479141906808</v>
      </c>
      <c r="T68" s="244">
        <f t="shared" si="11"/>
        <v>2281.0161432502205</v>
      </c>
      <c r="U68" s="244">
        <f t="shared" si="11"/>
        <v>2295.4843723097606</v>
      </c>
      <c r="V68" s="244">
        <f t="shared" si="11"/>
        <v>2309.9526013693007</v>
      </c>
      <c r="W68" s="244">
        <f t="shared" si="11"/>
        <v>2324.4208304288404</v>
      </c>
      <c r="X68" s="244">
        <f t="shared" si="11"/>
        <v>2339.8495506760537</v>
      </c>
      <c r="Y68" s="244">
        <f t="shared" si="11"/>
        <v>2355.2782709232674</v>
      </c>
      <c r="Z68" s="244">
        <f t="shared" si="11"/>
        <v>2370.7069911704807</v>
      </c>
      <c r="AA68" s="244">
        <f t="shared" si="11"/>
        <v>2386.1357114176944</v>
      </c>
      <c r="AB68" s="244">
        <f t="shared" si="11"/>
        <v>2401.5644316649077</v>
      </c>
      <c r="AC68" s="265">
        <f t="shared" si="11"/>
        <v>2416.993151912121</v>
      </c>
      <c r="AD68" s="340">
        <f t="shared" si="6"/>
        <v>50102.920541286243</v>
      </c>
    </row>
    <row r="69" spans="1:30" s="53" customFormat="1" ht="12">
      <c r="A69" s="44"/>
      <c r="B69" s="70"/>
      <c r="C69" s="63" t="s">
        <v>131</v>
      </c>
      <c r="D69" s="210"/>
      <c r="E69" s="217"/>
      <c r="F69" s="45"/>
      <c r="G69" s="293"/>
      <c r="H69" s="293"/>
      <c r="I69" s="293"/>
      <c r="J69" s="293"/>
      <c r="K69" s="293"/>
      <c r="L69" s="293"/>
      <c r="M69" s="293"/>
      <c r="N69" s="293"/>
      <c r="O69" s="293"/>
      <c r="P69" s="293"/>
      <c r="Q69" s="293"/>
      <c r="R69" s="293"/>
      <c r="S69" s="293"/>
      <c r="T69" s="293"/>
      <c r="U69" s="293"/>
      <c r="V69" s="293"/>
      <c r="W69" s="293"/>
      <c r="X69" s="293"/>
      <c r="Y69" s="293"/>
      <c r="Z69" s="45"/>
      <c r="AA69" s="45"/>
      <c r="AB69" s="45"/>
      <c r="AC69" s="263"/>
      <c r="AD69" s="338"/>
    </row>
    <row r="70" spans="1:30" s="53" customFormat="1" ht="12">
      <c r="A70" s="44"/>
      <c r="B70" s="70"/>
      <c r="C70" s="224" t="s">
        <v>387</v>
      </c>
      <c r="D70" s="253" t="s">
        <v>601</v>
      </c>
      <c r="E70" s="217"/>
      <c r="F70" s="298">
        <f>F43</f>
        <v>0.39100279786137265</v>
      </c>
      <c r="G70" s="298">
        <f t="shared" ref="G70:AC70" si="12">G43</f>
        <v>0.39205714599476826</v>
      </c>
      <c r="H70" s="298">
        <f t="shared" si="12"/>
        <v>0.39311874523828177</v>
      </c>
      <c r="I70" s="298">
        <f t="shared" si="12"/>
        <v>0.39418767065254157</v>
      </c>
      <c r="J70" s="298">
        <f t="shared" si="12"/>
        <v>0.39526399833776032</v>
      </c>
      <c r="K70" s="298">
        <f t="shared" si="12"/>
        <v>0.39634780545179538</v>
      </c>
      <c r="L70" s="298">
        <f t="shared" si="12"/>
        <v>0.39743917022858699</v>
      </c>
      <c r="M70" s="298">
        <f t="shared" si="12"/>
        <v>0.39853817199698321</v>
      </c>
      <c r="N70" s="298">
        <f t="shared" si="12"/>
        <v>0.39964489119996166</v>
      </c>
      <c r="O70" s="298">
        <f t="shared" si="12"/>
        <v>0.40075940941425758</v>
      </c>
      <c r="P70" s="298">
        <f t="shared" si="12"/>
        <v>0.40188180937040846</v>
      </c>
      <c r="Q70" s="298">
        <f t="shared" si="12"/>
        <v>0.40301217497322528</v>
      </c>
      <c r="R70" s="298">
        <f t="shared" si="12"/>
        <v>0.40415059132270104</v>
      </c>
      <c r="S70" s="298">
        <f t="shared" si="12"/>
        <v>0.40529714473536788</v>
      </c>
      <c r="T70" s="298">
        <f t="shared" si="12"/>
        <v>0.40645192276611369</v>
      </c>
      <c r="U70" s="298">
        <f t="shared" si="12"/>
        <v>0.40761501423047014</v>
      </c>
      <c r="V70" s="298">
        <f t="shared" si="12"/>
        <v>0.40878650922738302</v>
      </c>
      <c r="W70" s="298">
        <f t="shared" si="12"/>
        <v>0.40996649916247907</v>
      </c>
      <c r="X70" s="298">
        <f t="shared" si="12"/>
        <v>0.41115507677183999</v>
      </c>
      <c r="Y70" s="298">
        <f t="shared" si="12"/>
        <v>0.41235233614629774</v>
      </c>
      <c r="Z70" s="298">
        <f t="shared" si="12"/>
        <v>0.41355837275626389</v>
      </c>
      <c r="AA70" s="298">
        <f t="shared" si="12"/>
        <v>0.41477328347710757</v>
      </c>
      <c r="AB70" s="298">
        <f t="shared" si="12"/>
        <v>0.415997166615095</v>
      </c>
      <c r="AC70" s="301">
        <f t="shared" si="12"/>
        <v>0.41723012193390652</v>
      </c>
      <c r="AD70" s="345">
        <f t="shared" si="6"/>
        <v>9.6905878298649686</v>
      </c>
    </row>
    <row r="71" spans="1:30" s="53" customFormat="1" ht="12">
      <c r="A71" s="44"/>
      <c r="B71" s="70"/>
      <c r="C71" s="224" t="s">
        <v>404</v>
      </c>
      <c r="D71" s="248">
        <f>D44</f>
        <v>0.38127571701364549</v>
      </c>
      <c r="E71" s="217"/>
      <c r="F71" s="45"/>
      <c r="G71" s="293"/>
      <c r="H71" s="293"/>
      <c r="I71" s="293"/>
      <c r="J71" s="293"/>
      <c r="K71" s="293"/>
      <c r="L71" s="293"/>
      <c r="M71" s="293"/>
      <c r="N71" s="293"/>
      <c r="O71" s="293"/>
      <c r="P71" s="293"/>
      <c r="Q71" s="293"/>
      <c r="R71" s="293"/>
      <c r="S71" s="293"/>
      <c r="T71" s="293"/>
      <c r="U71" s="293"/>
      <c r="V71" s="293"/>
      <c r="W71" s="293"/>
      <c r="X71" s="293"/>
      <c r="Y71" s="293"/>
      <c r="Z71" s="45"/>
      <c r="AA71" s="45"/>
      <c r="AB71" s="45"/>
      <c r="AC71" s="263"/>
      <c r="AD71" s="338"/>
    </row>
    <row r="72" spans="1:30" s="53" customFormat="1" ht="12">
      <c r="A72" s="44"/>
      <c r="B72" s="70"/>
      <c r="C72" s="224" t="s">
        <v>423</v>
      </c>
      <c r="D72" s="248">
        <f>'Mode Operating Assumptions'!C59</f>
        <v>0.1336</v>
      </c>
      <c r="E72" s="217"/>
      <c r="F72" s="45"/>
      <c r="G72" s="293"/>
      <c r="H72" s="293"/>
      <c r="I72" s="293"/>
      <c r="J72" s="293"/>
      <c r="K72" s="293"/>
      <c r="L72" s="293"/>
      <c r="M72" s="293"/>
      <c r="N72" s="293"/>
      <c r="O72" s="293"/>
      <c r="P72" s="293"/>
      <c r="Q72" s="293"/>
      <c r="R72" s="293"/>
      <c r="S72" s="293"/>
      <c r="T72" s="293"/>
      <c r="U72" s="293"/>
      <c r="V72" s="293"/>
      <c r="W72" s="293"/>
      <c r="X72" s="293"/>
      <c r="Y72" s="293"/>
      <c r="Z72" s="45"/>
      <c r="AA72" s="45"/>
      <c r="AB72" s="45"/>
      <c r="AC72" s="263"/>
      <c r="AD72" s="338"/>
    </row>
    <row r="73" spans="1:30" s="53" customFormat="1" ht="12">
      <c r="A73" s="44"/>
      <c r="B73" s="70"/>
      <c r="C73" s="224" t="s">
        <v>384</v>
      </c>
      <c r="D73" s="253">
        <f>D46</f>
        <v>12.5</v>
      </c>
      <c r="E73" s="217"/>
      <c r="F73" s="45"/>
      <c r="G73" s="293"/>
      <c r="H73" s="293"/>
      <c r="I73" s="293"/>
      <c r="J73" s="293"/>
      <c r="K73" s="293"/>
      <c r="L73" s="293"/>
      <c r="M73" s="293"/>
      <c r="N73" s="293"/>
      <c r="O73" s="293"/>
      <c r="P73" s="293"/>
      <c r="Q73" s="293"/>
      <c r="R73" s="293"/>
      <c r="S73" s="293"/>
      <c r="T73" s="293"/>
      <c r="U73" s="293"/>
      <c r="V73" s="293"/>
      <c r="W73" s="293"/>
      <c r="X73" s="293"/>
      <c r="Y73" s="293"/>
      <c r="Z73" s="45"/>
      <c r="AA73" s="45"/>
      <c r="AB73" s="45"/>
      <c r="AC73" s="263"/>
      <c r="AD73" s="338"/>
    </row>
    <row r="74" spans="1:30" s="53" customFormat="1" ht="12">
      <c r="A74" s="44"/>
      <c r="B74" s="70"/>
      <c r="C74" s="224" t="s">
        <v>385</v>
      </c>
      <c r="D74" s="253">
        <f t="shared" ref="D74" si="13">D47</f>
        <v>12.5</v>
      </c>
      <c r="E74" s="217"/>
      <c r="F74" s="45"/>
      <c r="G74" s="293"/>
      <c r="H74" s="293"/>
      <c r="I74" s="293"/>
      <c r="J74" s="293"/>
      <c r="K74" s="293"/>
      <c r="L74" s="293"/>
      <c r="M74" s="293"/>
      <c r="N74" s="293"/>
      <c r="O74" s="293"/>
      <c r="P74" s="293"/>
      <c r="Q74" s="293"/>
      <c r="R74" s="293"/>
      <c r="S74" s="293"/>
      <c r="T74" s="293"/>
      <c r="U74" s="293"/>
      <c r="V74" s="293"/>
      <c r="W74" s="293"/>
      <c r="X74" s="293"/>
      <c r="Y74" s="293"/>
      <c r="Z74" s="45"/>
      <c r="AA74" s="45"/>
      <c r="AB74" s="45"/>
      <c r="AC74" s="263"/>
      <c r="AD74" s="338"/>
    </row>
    <row r="75" spans="1:30" s="53" customFormat="1" ht="12">
      <c r="A75" s="44"/>
      <c r="B75" s="70"/>
      <c r="C75" s="224" t="s">
        <v>422</v>
      </c>
      <c r="D75" s="253">
        <f>'Mode Operating Assumptions'!C103</f>
        <v>12.5</v>
      </c>
      <c r="E75" s="217"/>
      <c r="F75" s="45"/>
      <c r="G75" s="293"/>
      <c r="H75" s="293"/>
      <c r="I75" s="293"/>
      <c r="J75" s="293"/>
      <c r="K75" s="293"/>
      <c r="L75" s="293"/>
      <c r="M75" s="293"/>
      <c r="N75" s="293"/>
      <c r="O75" s="293"/>
      <c r="P75" s="293"/>
      <c r="Q75" s="293"/>
      <c r="R75" s="293"/>
      <c r="S75" s="293"/>
      <c r="T75" s="293"/>
      <c r="U75" s="293"/>
      <c r="V75" s="293"/>
      <c r="W75" s="293"/>
      <c r="X75" s="293"/>
      <c r="Y75" s="293"/>
      <c r="Z75" s="45"/>
      <c r="AA75" s="45"/>
      <c r="AB75" s="45"/>
      <c r="AC75" s="263"/>
      <c r="AD75" s="338"/>
    </row>
    <row r="76" spans="1:30" s="53" customFormat="1" ht="12">
      <c r="A76" s="44"/>
      <c r="B76" s="70"/>
      <c r="C76" s="78" t="s">
        <v>424</v>
      </c>
      <c r="D76" s="210"/>
      <c r="E76" s="217"/>
      <c r="F76" s="255">
        <f>+(F70*$D$73)-($D$71*$D$74)-($D$72*$D$75)</f>
        <v>-1.5484114894034109</v>
      </c>
      <c r="G76" s="255">
        <f t="shared" ref="G76:AC76" si="14">+(G70*$D$73)-($D$71*$D$74)-($D$72*$D$75)</f>
        <v>-1.5352321377359655</v>
      </c>
      <c r="H76" s="255">
        <f t="shared" si="14"/>
        <v>-1.5219621471920464</v>
      </c>
      <c r="I76" s="255">
        <f t="shared" si="14"/>
        <v>-1.5086005795137991</v>
      </c>
      <c r="J76" s="255">
        <f t="shared" si="14"/>
        <v>-1.4951464834485648</v>
      </c>
      <c r="K76" s="255">
        <f t="shared" si="14"/>
        <v>-1.4815988945231267</v>
      </c>
      <c r="L76" s="255">
        <f t="shared" si="14"/>
        <v>-1.4679568348132319</v>
      </c>
      <c r="M76" s="255">
        <f t="shared" si="14"/>
        <v>-1.454219312708279</v>
      </c>
      <c r="N76" s="255">
        <f t="shared" si="14"/>
        <v>-1.4403853226710481</v>
      </c>
      <c r="O76" s="255">
        <f t="shared" si="14"/>
        <v>-1.4264538449923494</v>
      </c>
      <c r="P76" s="255">
        <f t="shared" si="14"/>
        <v>-1.412423845540463</v>
      </c>
      <c r="Q76" s="255">
        <f t="shared" si="14"/>
        <v>-1.3982942755052532</v>
      </c>
      <c r="R76" s="255">
        <f t="shared" si="14"/>
        <v>-1.3840640711368062</v>
      </c>
      <c r="S76" s="255">
        <f t="shared" si="14"/>
        <v>-1.3697321534784708</v>
      </c>
      <c r="T76" s="255">
        <f t="shared" si="14"/>
        <v>-1.3552974280941479</v>
      </c>
      <c r="U76" s="255">
        <f t="shared" si="14"/>
        <v>-1.340758784789692</v>
      </c>
      <c r="V76" s="255">
        <f t="shared" si="14"/>
        <v>-1.3261150973282811</v>
      </c>
      <c r="W76" s="255">
        <f t="shared" si="14"/>
        <v>-1.3113652231395809</v>
      </c>
      <c r="X76" s="255">
        <f t="shared" si="14"/>
        <v>-1.2965080030225691</v>
      </c>
      <c r="Y76" s="255">
        <f t="shared" si="14"/>
        <v>-1.2815422608418467</v>
      </c>
      <c r="Z76" s="255">
        <f t="shared" si="14"/>
        <v>-1.2664668032172699</v>
      </c>
      <c r="AA76" s="255">
        <f t="shared" si="14"/>
        <v>-1.2512804192067239</v>
      </c>
      <c r="AB76" s="255">
        <f t="shared" si="14"/>
        <v>-1.2359818799818809</v>
      </c>
      <c r="AC76" s="268">
        <f t="shared" si="14"/>
        <v>-1.2205699384967374</v>
      </c>
      <c r="AD76" s="346">
        <f t="shared" si="6"/>
        <v>-33.33036723078154</v>
      </c>
    </row>
    <row r="77" spans="1:30">
      <c r="D77" s="210"/>
      <c r="E77" s="217"/>
      <c r="F77" s="255">
        <f>F76*F68</f>
        <v>0</v>
      </c>
      <c r="G77" s="255">
        <f t="shared" ref="G77:AC77" si="15">G76*G68</f>
        <v>-782.99205340571257</v>
      </c>
      <c r="H77" s="255">
        <f t="shared" si="15"/>
        <v>-3140.3271037087807</v>
      </c>
      <c r="I77" s="255">
        <f t="shared" si="15"/>
        <v>-3147.8770700719415</v>
      </c>
      <c r="J77" s="255">
        <f t="shared" si="15"/>
        <v>-3154.6097100597713</v>
      </c>
      <c r="K77" s="255">
        <f t="shared" si="15"/>
        <v>-3160.5165042392114</v>
      </c>
      <c r="L77" s="255">
        <f t="shared" si="15"/>
        <v>-3165.5888143608481</v>
      </c>
      <c r="M77" s="255">
        <f t="shared" si="15"/>
        <v>-3169.8178812803339</v>
      </c>
      <c r="N77" s="255">
        <f t="shared" si="15"/>
        <v>-3160.5032248189136</v>
      </c>
      <c r="O77" s="255">
        <f t="shared" si="15"/>
        <v>-3150.5729431678424</v>
      </c>
      <c r="P77" s="255">
        <f t="shared" si="15"/>
        <v>-3140.0205058836095</v>
      </c>
      <c r="Q77" s="255">
        <f t="shared" si="15"/>
        <v>-3128.8392898298939</v>
      </c>
      <c r="R77" s="255">
        <f t="shared" si="15"/>
        <v>-3117.0225775271024</v>
      </c>
      <c r="S77" s="255">
        <f t="shared" si="15"/>
        <v>-3104.5635554665373</v>
      </c>
      <c r="T77" s="255">
        <f t="shared" si="15"/>
        <v>-3091.4553123882561</v>
      </c>
      <c r="U77" s="255">
        <f t="shared" si="15"/>
        <v>-3077.6908375217636</v>
      </c>
      <c r="V77" s="255">
        <f t="shared" si="15"/>
        <v>-3063.2630187885666</v>
      </c>
      <c r="W77" s="255">
        <f t="shared" si="15"/>
        <v>-3048.1646409656064</v>
      </c>
      <c r="X77" s="255">
        <f t="shared" si="15"/>
        <v>-3033.6336683202658</v>
      </c>
      <c r="Y77" s="255">
        <f t="shared" si="15"/>
        <v>-3018.3886402306798</v>
      </c>
      <c r="Z77" s="255">
        <f t="shared" si="15"/>
        <v>-3002.421704472511</v>
      </c>
      <c r="AA77" s="255">
        <f t="shared" si="15"/>
        <v>-2985.7248932668672</v>
      </c>
      <c r="AB77" s="255">
        <f t="shared" si="15"/>
        <v>-2968.2901211468102</v>
      </c>
      <c r="AC77" s="268">
        <f t="shared" si="15"/>
        <v>-2950.109182776413</v>
      </c>
      <c r="AD77" s="346">
        <f t="shared" si="6"/>
        <v>-68762.393253698247</v>
      </c>
    </row>
    <row r="78" spans="1:30" s="53" customFormat="1" ht="12">
      <c r="A78" s="44"/>
      <c r="B78" s="70"/>
      <c r="C78" s="62" t="s">
        <v>413</v>
      </c>
      <c r="D78" s="210"/>
      <c r="E78" s="217"/>
      <c r="F78" s="289">
        <f>F77</f>
        <v>0</v>
      </c>
      <c r="G78" s="289">
        <f t="shared" ref="G78:AC78" si="16">G77</f>
        <v>-782.99205340571257</v>
      </c>
      <c r="H78" s="289">
        <f t="shared" si="16"/>
        <v>-3140.3271037087807</v>
      </c>
      <c r="I78" s="289">
        <f t="shared" si="16"/>
        <v>-3147.8770700719415</v>
      </c>
      <c r="J78" s="289">
        <f t="shared" si="16"/>
        <v>-3154.6097100597713</v>
      </c>
      <c r="K78" s="289">
        <f t="shared" si="16"/>
        <v>-3160.5165042392114</v>
      </c>
      <c r="L78" s="289">
        <f t="shared" si="16"/>
        <v>-3165.5888143608481</v>
      </c>
      <c r="M78" s="289">
        <f t="shared" si="16"/>
        <v>-3169.8178812803339</v>
      </c>
      <c r="N78" s="289">
        <f t="shared" si="16"/>
        <v>-3160.5032248189136</v>
      </c>
      <c r="O78" s="289">
        <f t="shared" si="16"/>
        <v>-3150.5729431678424</v>
      </c>
      <c r="P78" s="289">
        <f t="shared" si="16"/>
        <v>-3140.0205058836095</v>
      </c>
      <c r="Q78" s="289">
        <f t="shared" si="16"/>
        <v>-3128.8392898298939</v>
      </c>
      <c r="R78" s="289">
        <f t="shared" si="16"/>
        <v>-3117.0225775271024</v>
      </c>
      <c r="S78" s="289">
        <f t="shared" si="16"/>
        <v>-3104.5635554665373</v>
      </c>
      <c r="T78" s="289">
        <f t="shared" si="16"/>
        <v>-3091.4553123882561</v>
      </c>
      <c r="U78" s="289">
        <f t="shared" si="16"/>
        <v>-3077.6908375217636</v>
      </c>
      <c r="V78" s="289">
        <f t="shared" si="16"/>
        <v>-3063.2630187885666</v>
      </c>
      <c r="W78" s="289">
        <f t="shared" si="16"/>
        <v>-3048.1646409656064</v>
      </c>
      <c r="X78" s="289">
        <f t="shared" si="16"/>
        <v>-3033.6336683202658</v>
      </c>
      <c r="Y78" s="289">
        <f t="shared" si="16"/>
        <v>-3018.3886402306798</v>
      </c>
      <c r="Z78" s="289">
        <f t="shared" si="16"/>
        <v>-3002.421704472511</v>
      </c>
      <c r="AA78" s="289">
        <f t="shared" si="16"/>
        <v>-2985.7248932668672</v>
      </c>
      <c r="AB78" s="289">
        <f t="shared" si="16"/>
        <v>-2968.2901211468102</v>
      </c>
      <c r="AC78" s="318">
        <f t="shared" si="16"/>
        <v>-2950.109182776413</v>
      </c>
      <c r="AD78" s="347">
        <f t="shared" si="6"/>
        <v>-68762.393253698247</v>
      </c>
    </row>
    <row r="79" spans="1:30" s="53" customFormat="1" ht="12">
      <c r="A79" s="44"/>
      <c r="B79" s="70"/>
      <c r="C79" s="62"/>
      <c r="D79" s="210"/>
      <c r="E79" s="217"/>
      <c r="F79" s="45"/>
      <c r="G79" s="59"/>
      <c r="H79" s="59"/>
      <c r="I79" s="59"/>
      <c r="J79" s="59"/>
      <c r="K79" s="59"/>
      <c r="L79" s="59"/>
      <c r="M79" s="59"/>
      <c r="N79" s="59"/>
      <c r="O79" s="59"/>
      <c r="P79" s="59"/>
      <c r="Q79" s="59"/>
      <c r="R79" s="59"/>
      <c r="S79" s="59"/>
      <c r="T79" s="59"/>
      <c r="U79" s="59"/>
      <c r="V79" s="59"/>
      <c r="W79" s="59"/>
      <c r="X79" s="59"/>
      <c r="Y79" s="59"/>
      <c r="AC79" s="263"/>
      <c r="AD79" s="338"/>
    </row>
    <row r="80" spans="1:30" s="53" customFormat="1" ht="12">
      <c r="A80" s="44"/>
      <c r="B80" s="70"/>
      <c r="C80" s="63" t="s">
        <v>149</v>
      </c>
      <c r="D80" s="210"/>
      <c r="E80" s="217"/>
      <c r="F80" s="45"/>
      <c r="G80" s="59"/>
      <c r="H80" s="59"/>
      <c r="I80" s="59"/>
      <c r="J80" s="59"/>
      <c r="K80" s="59"/>
      <c r="L80" s="59"/>
      <c r="M80" s="59"/>
      <c r="N80" s="59"/>
      <c r="O80" s="59"/>
      <c r="P80" s="59"/>
      <c r="Q80" s="59"/>
      <c r="R80" s="59"/>
      <c r="S80" s="59"/>
      <c r="T80" s="59"/>
      <c r="U80" s="59"/>
      <c r="V80" s="59"/>
      <c r="W80" s="59"/>
      <c r="X80" s="59"/>
      <c r="Y80" s="59"/>
      <c r="AC80" s="263"/>
      <c r="AD80" s="338"/>
    </row>
    <row r="81" spans="1:30" s="53" customFormat="1" ht="12">
      <c r="A81" s="44"/>
      <c r="B81" s="70"/>
      <c r="C81" s="224" t="s">
        <v>430</v>
      </c>
      <c r="D81" s="253">
        <f>D54</f>
        <v>8.1905000000000001</v>
      </c>
      <c r="E81" s="217"/>
      <c r="F81" s="45"/>
      <c r="G81" s="59"/>
      <c r="H81" s="59"/>
      <c r="I81" s="59"/>
      <c r="J81" s="59"/>
      <c r="K81" s="59"/>
      <c r="L81" s="59"/>
      <c r="M81" s="59"/>
      <c r="N81" s="59"/>
      <c r="O81" s="59"/>
      <c r="P81" s="59"/>
      <c r="Q81" s="59"/>
      <c r="R81" s="59"/>
      <c r="S81" s="59"/>
      <c r="T81" s="59"/>
      <c r="U81" s="59"/>
      <c r="V81" s="59"/>
      <c r="W81" s="59"/>
      <c r="X81" s="59"/>
      <c r="Y81" s="59"/>
      <c r="AC81" s="263"/>
      <c r="AD81" s="338"/>
    </row>
    <row r="82" spans="1:30" s="53" customFormat="1" ht="12">
      <c r="A82" s="44"/>
      <c r="B82" s="70"/>
      <c r="C82" s="225" t="s">
        <v>386</v>
      </c>
      <c r="D82" s="253">
        <f t="shared" ref="D82" si="17">D55</f>
        <v>2.107407271835358</v>
      </c>
      <c r="E82" s="217"/>
      <c r="F82" s="45"/>
      <c r="G82" s="59"/>
      <c r="H82" s="59"/>
      <c r="I82" s="59"/>
      <c r="J82" s="59"/>
      <c r="K82" s="59"/>
      <c r="L82" s="59"/>
      <c r="M82" s="59"/>
      <c r="N82" s="59"/>
      <c r="O82" s="59"/>
      <c r="P82" s="59"/>
      <c r="Q82" s="59"/>
      <c r="R82" s="59"/>
      <c r="S82" s="59"/>
      <c r="T82" s="59"/>
      <c r="U82" s="59"/>
      <c r="V82" s="59"/>
      <c r="W82" s="59"/>
      <c r="X82" s="59"/>
      <c r="Y82" s="59"/>
      <c r="AC82" s="263"/>
      <c r="AD82" s="338"/>
    </row>
    <row r="83" spans="1:30" s="53" customFormat="1" ht="12">
      <c r="A83" s="44"/>
      <c r="B83" s="70"/>
      <c r="C83" s="225" t="s">
        <v>398</v>
      </c>
      <c r="D83" s="253">
        <v>0.1</v>
      </c>
      <c r="E83" s="217"/>
      <c r="F83" s="45"/>
      <c r="G83" s="59"/>
      <c r="H83" s="59"/>
      <c r="I83" s="59"/>
      <c r="J83" s="59"/>
      <c r="K83" s="59"/>
      <c r="L83" s="59"/>
      <c r="M83" s="59"/>
      <c r="N83" s="59"/>
      <c r="O83" s="59"/>
      <c r="P83" s="59"/>
      <c r="Q83" s="59"/>
      <c r="R83" s="59"/>
      <c r="S83" s="59"/>
      <c r="T83" s="59"/>
      <c r="U83" s="59"/>
      <c r="V83" s="59"/>
      <c r="W83" s="59"/>
      <c r="X83" s="59"/>
      <c r="Y83" s="59"/>
      <c r="AC83" s="263"/>
      <c r="AD83" s="338"/>
    </row>
    <row r="84" spans="1:30" s="53" customFormat="1" ht="12">
      <c r="A84" s="44"/>
      <c r="B84" s="70"/>
      <c r="C84" s="78" t="s">
        <v>425</v>
      </c>
      <c r="D84" s="253">
        <f>+D81-D82-D83</f>
        <v>5.9830927281646424</v>
      </c>
      <c r="E84" s="217"/>
      <c r="F84" s="233">
        <f t="shared" ref="F84:AC84" si="18">$D84*F68</f>
        <v>0</v>
      </c>
      <c r="G84" s="233">
        <f t="shared" si="18"/>
        <v>3051.4695112174063</v>
      </c>
      <c r="H84" s="233">
        <f t="shared" si="18"/>
        <v>12345.161338554299</v>
      </c>
      <c r="I84" s="233">
        <f t="shared" si="18"/>
        <v>12484.444632238974</v>
      </c>
      <c r="J84" s="233">
        <f t="shared" si="18"/>
        <v>12623.727925923649</v>
      </c>
      <c r="K84" s="233">
        <f t="shared" si="18"/>
        <v>12763.011219608328</v>
      </c>
      <c r="L84" s="233">
        <f t="shared" si="18"/>
        <v>12902.294513293</v>
      </c>
      <c r="M84" s="233">
        <f t="shared" si="18"/>
        <v>13041.577806977675</v>
      </c>
      <c r="N84" s="233">
        <f t="shared" si="18"/>
        <v>13128.142563053229</v>
      </c>
      <c r="O84" s="233">
        <f t="shared" si="18"/>
        <v>13214.707319128784</v>
      </c>
      <c r="P84" s="233">
        <f t="shared" si="18"/>
        <v>13301.272075204339</v>
      </c>
      <c r="Q84" s="233">
        <f t="shared" si="18"/>
        <v>13387.836831279894</v>
      </c>
      <c r="R84" s="233">
        <f t="shared" si="18"/>
        <v>13474.401587355442</v>
      </c>
      <c r="S84" s="233">
        <f t="shared" si="18"/>
        <v>13560.966343431</v>
      </c>
      <c r="T84" s="233">
        <f t="shared" si="18"/>
        <v>13647.531099506552</v>
      </c>
      <c r="U84" s="233">
        <f t="shared" si="18"/>
        <v>13734.095855582107</v>
      </c>
      <c r="V84" s="233">
        <f t="shared" si="18"/>
        <v>13820.660611657662</v>
      </c>
      <c r="W84" s="233">
        <f t="shared" si="18"/>
        <v>13907.225367733214</v>
      </c>
      <c r="X84" s="233">
        <f t="shared" si="18"/>
        <v>13999.536831649202</v>
      </c>
      <c r="Y84" s="233">
        <f t="shared" si="18"/>
        <v>14091.848295565194</v>
      </c>
      <c r="Z84" s="233">
        <f t="shared" si="18"/>
        <v>14184.159759481183</v>
      </c>
      <c r="AA84" s="233">
        <f t="shared" si="18"/>
        <v>14276.471223397173</v>
      </c>
      <c r="AB84" s="233">
        <f t="shared" si="18"/>
        <v>14368.782687313162</v>
      </c>
      <c r="AC84" s="266">
        <f t="shared" si="18"/>
        <v>14461.09415122915</v>
      </c>
      <c r="AD84" s="348">
        <f t="shared" si="6"/>
        <v>299770.41955038061</v>
      </c>
    </row>
    <row r="85" spans="1:30" s="53" customFormat="1" ht="12">
      <c r="A85" s="44"/>
      <c r="C85" s="62" t="s">
        <v>414</v>
      </c>
      <c r="D85" s="210"/>
      <c r="E85" s="217"/>
      <c r="F85" s="316">
        <f>F84</f>
        <v>0</v>
      </c>
      <c r="G85" s="316">
        <f t="shared" ref="G85:AC85" si="19">G84</f>
        <v>3051.4695112174063</v>
      </c>
      <c r="H85" s="316">
        <f t="shared" si="19"/>
        <v>12345.161338554299</v>
      </c>
      <c r="I85" s="316">
        <f t="shared" si="19"/>
        <v>12484.444632238974</v>
      </c>
      <c r="J85" s="316">
        <f t="shared" si="19"/>
        <v>12623.727925923649</v>
      </c>
      <c r="K85" s="316">
        <f t="shared" si="19"/>
        <v>12763.011219608328</v>
      </c>
      <c r="L85" s="316">
        <f t="shared" si="19"/>
        <v>12902.294513293</v>
      </c>
      <c r="M85" s="316">
        <f t="shared" si="19"/>
        <v>13041.577806977675</v>
      </c>
      <c r="N85" s="316">
        <f t="shared" si="19"/>
        <v>13128.142563053229</v>
      </c>
      <c r="O85" s="316">
        <f t="shared" si="19"/>
        <v>13214.707319128784</v>
      </c>
      <c r="P85" s="316">
        <f t="shared" si="19"/>
        <v>13301.272075204339</v>
      </c>
      <c r="Q85" s="316">
        <f t="shared" si="19"/>
        <v>13387.836831279894</v>
      </c>
      <c r="R85" s="316">
        <f t="shared" si="19"/>
        <v>13474.401587355442</v>
      </c>
      <c r="S85" s="316">
        <f t="shared" si="19"/>
        <v>13560.966343431</v>
      </c>
      <c r="T85" s="316">
        <f t="shared" si="19"/>
        <v>13647.531099506552</v>
      </c>
      <c r="U85" s="316">
        <f t="shared" si="19"/>
        <v>13734.095855582107</v>
      </c>
      <c r="V85" s="316">
        <f t="shared" si="19"/>
        <v>13820.660611657662</v>
      </c>
      <c r="W85" s="316">
        <f t="shared" si="19"/>
        <v>13907.225367733214</v>
      </c>
      <c r="X85" s="316">
        <f t="shared" si="19"/>
        <v>13999.536831649202</v>
      </c>
      <c r="Y85" s="316">
        <f t="shared" si="19"/>
        <v>14091.848295565194</v>
      </c>
      <c r="Z85" s="316">
        <f t="shared" si="19"/>
        <v>14184.159759481183</v>
      </c>
      <c r="AA85" s="316">
        <f t="shared" si="19"/>
        <v>14276.471223397173</v>
      </c>
      <c r="AB85" s="316">
        <f t="shared" si="19"/>
        <v>14368.782687313162</v>
      </c>
      <c r="AC85" s="317">
        <f t="shared" si="19"/>
        <v>14461.09415122915</v>
      </c>
      <c r="AD85" s="348">
        <f t="shared" si="6"/>
        <v>299770.41955038061</v>
      </c>
    </row>
    <row r="86" spans="1:30" s="53" customFormat="1" ht="12">
      <c r="A86" s="64" t="s">
        <v>343</v>
      </c>
      <c r="B86" s="64"/>
      <c r="D86" s="209"/>
      <c r="E86" s="217"/>
      <c r="F86" s="45"/>
      <c r="G86" s="57"/>
      <c r="AC86" s="263"/>
      <c r="AD86" s="338"/>
    </row>
    <row r="87" spans="1:30" s="53" customFormat="1" ht="12">
      <c r="A87" s="64"/>
      <c r="B87" s="64"/>
      <c r="D87" s="209"/>
      <c r="E87" s="217"/>
      <c r="F87" s="45"/>
      <c r="G87" s="57"/>
      <c r="AC87" s="263"/>
      <c r="AD87" s="338"/>
    </row>
    <row r="88" spans="1:30" s="53" customFormat="1" ht="12">
      <c r="A88" s="45"/>
      <c r="B88" s="45"/>
      <c r="C88" s="64" t="s">
        <v>94</v>
      </c>
      <c r="D88" s="209"/>
      <c r="E88" s="217"/>
      <c r="F88" s="45"/>
      <c r="G88" s="57"/>
      <c r="AC88" s="263"/>
      <c r="AD88" s="338"/>
    </row>
    <row r="89" spans="1:30" s="53" customFormat="1" ht="12">
      <c r="A89" s="45"/>
      <c r="B89" s="45"/>
      <c r="C89" s="55" t="s">
        <v>484</v>
      </c>
      <c r="D89" s="259">
        <v>0.5</v>
      </c>
      <c r="E89" s="217"/>
      <c r="F89" s="45"/>
      <c r="G89" s="57"/>
      <c r="AC89" s="263"/>
      <c r="AD89" s="338"/>
    </row>
    <row r="90" spans="1:30" s="53" customFormat="1" ht="12">
      <c r="A90" s="45"/>
      <c r="B90" s="45"/>
      <c r="C90" s="78"/>
      <c r="D90" s="209"/>
      <c r="E90" s="217"/>
      <c r="F90" s="45"/>
      <c r="G90" s="57"/>
      <c r="AC90" s="263"/>
      <c r="AD90" s="338"/>
    </row>
    <row r="91" spans="1:30" s="53" customFormat="1" ht="12">
      <c r="A91" s="44"/>
      <c r="B91" s="5" t="s">
        <v>351</v>
      </c>
      <c r="C91" s="78" t="s">
        <v>402</v>
      </c>
      <c r="D91" s="253"/>
      <c r="E91" s="217"/>
      <c r="F91" s="45">
        <f>F12</f>
        <v>0</v>
      </c>
      <c r="G91" s="45">
        <f t="shared" ref="G91:AC91" si="20">G12</f>
        <v>526.83038241315512</v>
      </c>
      <c r="H91" s="45">
        <f t="shared" si="20"/>
        <v>2131.3685242583074</v>
      </c>
      <c r="I91" s="45">
        <f t="shared" si="20"/>
        <v>2155.4155188639934</v>
      </c>
      <c r="J91" s="45">
        <f t="shared" si="20"/>
        <v>2179.4625134696798</v>
      </c>
      <c r="K91" s="45">
        <f t="shared" si="20"/>
        <v>2203.5095080753663</v>
      </c>
      <c r="L91" s="45">
        <f t="shared" si="20"/>
        <v>2227.5565026810523</v>
      </c>
      <c r="M91" s="45">
        <f t="shared" si="20"/>
        <v>2251.6034972867387</v>
      </c>
      <c r="N91" s="45">
        <f t="shared" si="20"/>
        <v>2266.5487370733854</v>
      </c>
      <c r="O91" s="45">
        <f t="shared" si="20"/>
        <v>2281.4939768600325</v>
      </c>
      <c r="P91" s="45">
        <f t="shared" si="20"/>
        <v>2296.4392166466787</v>
      </c>
      <c r="Q91" s="45">
        <f t="shared" si="20"/>
        <v>2311.3844564333258</v>
      </c>
      <c r="R91" s="45">
        <f t="shared" si="20"/>
        <v>2326.3296962199715</v>
      </c>
      <c r="S91" s="45">
        <f t="shared" si="20"/>
        <v>2341.2749360066186</v>
      </c>
      <c r="T91" s="45">
        <f t="shared" si="20"/>
        <v>2356.2201757932658</v>
      </c>
      <c r="U91" s="45">
        <f t="shared" si="20"/>
        <v>2371.165415579912</v>
      </c>
      <c r="V91" s="45">
        <f t="shared" si="20"/>
        <v>2386.1106553665586</v>
      </c>
      <c r="W91" s="45">
        <f t="shared" si="20"/>
        <v>2401.0558951532053</v>
      </c>
      <c r="X91" s="45">
        <f t="shared" si="20"/>
        <v>2416.9932930715527</v>
      </c>
      <c r="Y91" s="45">
        <f t="shared" si="20"/>
        <v>2432.9306909899014</v>
      </c>
      <c r="Z91" s="45">
        <f t="shared" si="20"/>
        <v>2448.8680889082493</v>
      </c>
      <c r="AA91" s="45">
        <f t="shared" si="20"/>
        <v>2464.8054868265976</v>
      </c>
      <c r="AB91" s="45">
        <f t="shared" si="20"/>
        <v>2480.7428847449455</v>
      </c>
      <c r="AC91" s="263">
        <f t="shared" si="20"/>
        <v>2496.6802826632934</v>
      </c>
      <c r="AD91" s="338">
        <f t="shared" ref="AD91:AD100" si="21">SUM(F91:AC91)</f>
        <v>51754.790335385784</v>
      </c>
    </row>
    <row r="92" spans="1:30" s="53" customFormat="1" ht="12">
      <c r="A92" s="44"/>
      <c r="B92" s="5"/>
      <c r="C92" s="78" t="s">
        <v>401</v>
      </c>
      <c r="D92" s="253"/>
      <c r="E92" s="217"/>
      <c r="F92" s="255">
        <f>$D$89*F49</f>
        <v>-2.7399869947017055</v>
      </c>
      <c r="G92" s="255">
        <f t="shared" ref="G92:AC92" si="22">$D$89*G49</f>
        <v>-2.7333973188679828</v>
      </c>
      <c r="H92" s="255">
        <f t="shared" si="22"/>
        <v>-2.7267623235960232</v>
      </c>
      <c r="I92" s="255">
        <f t="shared" si="22"/>
        <v>-2.7200815397568996</v>
      </c>
      <c r="J92" s="255">
        <f t="shared" si="22"/>
        <v>-2.7133544917242824</v>
      </c>
      <c r="K92" s="255">
        <f t="shared" si="22"/>
        <v>-2.7065806972615634</v>
      </c>
      <c r="L92" s="255">
        <f t="shared" si="22"/>
        <v>-2.699759667406616</v>
      </c>
      <c r="M92" s="255">
        <f t="shared" si="22"/>
        <v>-2.6928909063541395</v>
      </c>
      <c r="N92" s="255">
        <f t="shared" si="22"/>
        <v>-2.6859739113355241</v>
      </c>
      <c r="O92" s="255">
        <f t="shared" si="22"/>
        <v>-2.6790081724961747</v>
      </c>
      <c r="P92" s="255">
        <f t="shared" si="22"/>
        <v>-2.6719931727702315</v>
      </c>
      <c r="Q92" s="255">
        <f t="shared" si="22"/>
        <v>-2.6649283877526266</v>
      </c>
      <c r="R92" s="255">
        <f t="shared" si="22"/>
        <v>-2.6578132855684031</v>
      </c>
      <c r="S92" s="255">
        <f t="shared" si="22"/>
        <v>-2.6506473267392354</v>
      </c>
      <c r="T92" s="255">
        <f t="shared" si="22"/>
        <v>-2.643429964047074</v>
      </c>
      <c r="U92" s="255">
        <f t="shared" si="22"/>
        <v>-2.636160642394846</v>
      </c>
      <c r="V92" s="255">
        <f t="shared" si="22"/>
        <v>-2.6288387986641406</v>
      </c>
      <c r="W92" s="255">
        <f t="shared" si="22"/>
        <v>-2.6214638615697905</v>
      </c>
      <c r="X92" s="255">
        <f t="shared" si="22"/>
        <v>-2.6140352515112846</v>
      </c>
      <c r="Y92" s="255">
        <f t="shared" si="22"/>
        <v>-2.6065523804209234</v>
      </c>
      <c r="Z92" s="255">
        <f t="shared" si="22"/>
        <v>-2.599014651608635</v>
      </c>
      <c r="AA92" s="255">
        <f t="shared" si="22"/>
        <v>-2.591421459603362</v>
      </c>
      <c r="AB92" s="255">
        <f t="shared" si="22"/>
        <v>-2.5837721899909405</v>
      </c>
      <c r="AC92" s="268">
        <f t="shared" si="22"/>
        <v>-2.5760662192483688</v>
      </c>
      <c r="AD92" s="346">
        <f t="shared" si="21"/>
        <v>-63.843933615390767</v>
      </c>
    </row>
    <row r="93" spans="1:30" s="53" customFormat="1" ht="12">
      <c r="A93" s="44"/>
      <c r="C93" s="299" t="s">
        <v>155</v>
      </c>
      <c r="D93" s="253"/>
      <c r="E93" s="217"/>
      <c r="F93" s="255">
        <f>F92*F91</f>
        <v>0</v>
      </c>
      <c r="G93" s="255">
        <f t="shared" ref="G93:AC93" si="23">G92*G91</f>
        <v>-1440.0367547863123</v>
      </c>
      <c r="H93" s="255">
        <f t="shared" si="23"/>
        <v>-5811.735389646009</v>
      </c>
      <c r="I93" s="255">
        <f t="shared" si="23"/>
        <v>-5862.9059633674879</v>
      </c>
      <c r="J93" s="255">
        <f t="shared" si="23"/>
        <v>-5913.6544004676498</v>
      </c>
      <c r="K93" s="255">
        <f t="shared" si="23"/>
        <v>-5963.9763007891097</v>
      </c>
      <c r="L93" s="255">
        <f t="shared" si="23"/>
        <v>-6013.8672028076426</v>
      </c>
      <c r="M93" s="255">
        <f t="shared" si="23"/>
        <v>-6063.322582558636</v>
      </c>
      <c r="N93" s="255">
        <f t="shared" si="23"/>
        <v>-6087.8907765495933</v>
      </c>
      <c r="O93" s="255">
        <f t="shared" si="23"/>
        <v>-6112.1410095088258</v>
      </c>
      <c r="P93" s="255">
        <f t="shared" si="23"/>
        <v>-6136.0699085617443</v>
      </c>
      <c r="Q93" s="255">
        <f t="shared" si="23"/>
        <v>-6159.6740529593444</v>
      </c>
      <c r="R93" s="255">
        <f t="shared" si="23"/>
        <v>-6182.9499732257473</v>
      </c>
      <c r="S93" s="255">
        <f t="shared" si="23"/>
        <v>-6205.8941502875186</v>
      </c>
      <c r="T93" s="255">
        <f t="shared" si="23"/>
        <v>-6228.5030145841829</v>
      </c>
      <c r="U93" s="255">
        <f t="shared" si="23"/>
        <v>-6250.7729451595824</v>
      </c>
      <c r="V93" s="255">
        <f t="shared" si="23"/>
        <v>-6272.7002687335289</v>
      </c>
      <c r="W93" s="255">
        <f t="shared" si="23"/>
        <v>-6294.2812587532317</v>
      </c>
      <c r="X93" s="255">
        <f t="shared" si="23"/>
        <v>-6318.1056707553844</v>
      </c>
      <c r="Y93" s="255">
        <f t="shared" si="23"/>
        <v>-6341.5612839988498</v>
      </c>
      <c r="Z93" s="255">
        <f t="shared" si="23"/>
        <v>-6364.6440429293771</v>
      </c>
      <c r="AA93" s="255">
        <f t="shared" si="23"/>
        <v>-6387.3498323105568</v>
      </c>
      <c r="AB93" s="255">
        <f t="shared" si="23"/>
        <v>-6409.6744761218915</v>
      </c>
      <c r="AC93" s="268">
        <f t="shared" si="23"/>
        <v>-6431.6137364323786</v>
      </c>
      <c r="AD93" s="346">
        <f t="shared" si="21"/>
        <v>-137253.32499529459</v>
      </c>
    </row>
    <row r="94" spans="1:30" s="53" customFormat="1" ht="12">
      <c r="A94" s="44"/>
      <c r="B94" s="70"/>
      <c r="C94" s="78" t="s">
        <v>475</v>
      </c>
      <c r="D94" s="253">
        <f>$D$89*(D57)</f>
        <v>3.0165463640823211</v>
      </c>
      <c r="E94" s="217"/>
      <c r="F94" s="255">
        <f>$D94*F91</f>
        <v>0</v>
      </c>
      <c r="G94" s="255">
        <f t="shared" ref="G94:AC94" si="24">$D94*G91</f>
        <v>1589.2082745565019</v>
      </c>
      <c r="H94" s="255">
        <f t="shared" si="24"/>
        <v>6429.3719723709</v>
      </c>
      <c r="I94" s="255">
        <f t="shared" si="24"/>
        <v>6501.9108465157888</v>
      </c>
      <c r="J94" s="255">
        <f t="shared" si="24"/>
        <v>6574.4497206606793</v>
      </c>
      <c r="K94" s="255">
        <f t="shared" si="24"/>
        <v>6646.9885948055698</v>
      </c>
      <c r="L94" s="255">
        <f t="shared" si="24"/>
        <v>6719.5274689504595</v>
      </c>
      <c r="M94" s="255">
        <f t="shared" si="24"/>
        <v>6792.06634309535</v>
      </c>
      <c r="N94" s="255">
        <f t="shared" si="24"/>
        <v>6837.1493518340976</v>
      </c>
      <c r="O94" s="255">
        <f t="shared" si="24"/>
        <v>6882.2323605728461</v>
      </c>
      <c r="P94" s="255">
        <f t="shared" si="24"/>
        <v>6927.3153693115919</v>
      </c>
      <c r="Q94" s="255">
        <f t="shared" si="24"/>
        <v>6972.3983780503413</v>
      </c>
      <c r="R94" s="255">
        <f t="shared" si="24"/>
        <v>7017.4813867890862</v>
      </c>
      <c r="S94" s="255">
        <f t="shared" si="24"/>
        <v>7062.5643955278347</v>
      </c>
      <c r="T94" s="255">
        <f t="shared" si="24"/>
        <v>7107.6474042665832</v>
      </c>
      <c r="U94" s="255">
        <f t="shared" si="24"/>
        <v>7152.730413005329</v>
      </c>
      <c r="V94" s="255">
        <f t="shared" si="24"/>
        <v>7197.8134217440765</v>
      </c>
      <c r="W94" s="255">
        <f t="shared" si="24"/>
        <v>7242.8964304828241</v>
      </c>
      <c r="X94" s="255">
        <f t="shared" si="24"/>
        <v>7290.9723302263483</v>
      </c>
      <c r="Y94" s="255">
        <f t="shared" si="24"/>
        <v>7339.048229969876</v>
      </c>
      <c r="Z94" s="255">
        <f t="shared" si="24"/>
        <v>7387.124129713402</v>
      </c>
      <c r="AA94" s="255">
        <f t="shared" si="24"/>
        <v>7435.2000294569289</v>
      </c>
      <c r="AB94" s="255">
        <f t="shared" si="24"/>
        <v>7483.2759292004539</v>
      </c>
      <c r="AC94" s="268">
        <f t="shared" si="24"/>
        <v>7531.3518289439799</v>
      </c>
      <c r="AD94" s="346">
        <f t="shared" si="21"/>
        <v>156120.72461005085</v>
      </c>
    </row>
    <row r="95" spans="1:30" s="53" customFormat="1" ht="12">
      <c r="A95" s="45"/>
      <c r="B95" s="45"/>
      <c r="C95" s="78"/>
      <c r="D95" s="253"/>
      <c r="E95" s="217"/>
      <c r="F95" s="255"/>
      <c r="G95" s="255"/>
      <c r="H95" s="255"/>
      <c r="I95" s="255"/>
      <c r="J95" s="255"/>
      <c r="K95" s="255"/>
      <c r="L95" s="255"/>
      <c r="M95" s="255"/>
      <c r="N95" s="255"/>
      <c r="O95" s="255"/>
      <c r="P95" s="255"/>
      <c r="Q95" s="255"/>
      <c r="R95" s="255"/>
      <c r="S95" s="255"/>
      <c r="T95" s="255"/>
      <c r="U95" s="255"/>
      <c r="V95" s="255"/>
      <c r="W95" s="255"/>
      <c r="X95" s="255"/>
      <c r="Y95" s="255"/>
      <c r="Z95" s="255"/>
      <c r="AA95" s="255"/>
      <c r="AB95" s="255"/>
      <c r="AC95" s="268"/>
      <c r="AD95" s="346"/>
    </row>
    <row r="96" spans="1:30" s="53" customFormat="1" ht="12">
      <c r="A96" s="45"/>
      <c r="B96" s="5" t="s">
        <v>261</v>
      </c>
      <c r="C96" s="78"/>
      <c r="D96" s="253"/>
      <c r="E96" s="217"/>
      <c r="F96" s="255"/>
      <c r="G96" s="255"/>
      <c r="H96" s="255"/>
      <c r="I96" s="255"/>
      <c r="J96" s="255"/>
      <c r="K96" s="255"/>
      <c r="L96" s="255"/>
      <c r="M96" s="255"/>
      <c r="N96" s="255"/>
      <c r="O96" s="255"/>
      <c r="P96" s="255"/>
      <c r="Q96" s="255"/>
      <c r="R96" s="255"/>
      <c r="S96" s="255"/>
      <c r="T96" s="255"/>
      <c r="U96" s="255"/>
      <c r="V96" s="255"/>
      <c r="W96" s="255"/>
      <c r="X96" s="255"/>
      <c r="Y96" s="255"/>
      <c r="Z96" s="255"/>
      <c r="AA96" s="255"/>
      <c r="AB96" s="255"/>
      <c r="AC96" s="268"/>
      <c r="AD96" s="346"/>
    </row>
    <row r="97" spans="1:30" s="53" customFormat="1" ht="12">
      <c r="A97" s="44"/>
      <c r="B97" s="5"/>
      <c r="C97" s="78" t="s">
        <v>411</v>
      </c>
      <c r="D97" s="253"/>
      <c r="E97" s="217"/>
      <c r="F97" s="45">
        <f>F17</f>
        <v>0</v>
      </c>
      <c r="G97" s="45">
        <f t="shared" ref="G97:AC97" si="25">G17</f>
        <v>255.00770670434409</v>
      </c>
      <c r="H97" s="45">
        <f t="shared" si="25"/>
        <v>1031.6705673339336</v>
      </c>
      <c r="I97" s="45">
        <f t="shared" si="25"/>
        <v>1043.310307850491</v>
      </c>
      <c r="J97" s="45">
        <f t="shared" si="25"/>
        <v>1054.9500483670483</v>
      </c>
      <c r="K97" s="45">
        <f t="shared" si="25"/>
        <v>1066.5897888836059</v>
      </c>
      <c r="L97" s="45">
        <f t="shared" si="25"/>
        <v>1078.2295294001631</v>
      </c>
      <c r="M97" s="45">
        <f t="shared" si="25"/>
        <v>1089.8692699167204</v>
      </c>
      <c r="N97" s="45">
        <f t="shared" si="25"/>
        <v>1097.1033844464903</v>
      </c>
      <c r="O97" s="45">
        <f t="shared" si="25"/>
        <v>1104.3374989762603</v>
      </c>
      <c r="P97" s="45">
        <f t="shared" si="25"/>
        <v>1111.5716135060304</v>
      </c>
      <c r="Q97" s="45">
        <f t="shared" si="25"/>
        <v>1118.8057280358005</v>
      </c>
      <c r="R97" s="45">
        <f t="shared" si="25"/>
        <v>1126.0398425655701</v>
      </c>
      <c r="S97" s="45">
        <f t="shared" si="25"/>
        <v>1133.2739570953404</v>
      </c>
      <c r="T97" s="45">
        <f t="shared" si="25"/>
        <v>1140.5080716251102</v>
      </c>
      <c r="U97" s="45">
        <f t="shared" si="25"/>
        <v>1147.7421861548803</v>
      </c>
      <c r="V97" s="45">
        <f t="shared" si="25"/>
        <v>1154.9763006846504</v>
      </c>
      <c r="W97" s="45">
        <f t="shared" si="25"/>
        <v>1162.2104152144202</v>
      </c>
      <c r="X97" s="45">
        <f t="shared" si="25"/>
        <v>1169.9247753380268</v>
      </c>
      <c r="Y97" s="45">
        <f t="shared" si="25"/>
        <v>1177.6391354616337</v>
      </c>
      <c r="Z97" s="45">
        <f t="shared" si="25"/>
        <v>1185.3534955852404</v>
      </c>
      <c r="AA97" s="45">
        <f t="shared" si="25"/>
        <v>1193.0678557088472</v>
      </c>
      <c r="AB97" s="45">
        <f t="shared" si="25"/>
        <v>1200.7822158324539</v>
      </c>
      <c r="AC97" s="263">
        <f t="shared" si="25"/>
        <v>1208.4965759560605</v>
      </c>
      <c r="AD97" s="338">
        <f t="shared" si="21"/>
        <v>25051.460270643121</v>
      </c>
    </row>
    <row r="98" spans="1:30" s="53" customFormat="1" ht="12">
      <c r="A98" s="44"/>
      <c r="B98" s="5"/>
      <c r="C98" s="78" t="s">
        <v>427</v>
      </c>
      <c r="D98" s="253"/>
      <c r="E98" s="217"/>
      <c r="F98" s="255">
        <f>F76*$D$89</f>
        <v>-0.77420574470170545</v>
      </c>
      <c r="G98" s="255">
        <f t="shared" ref="G98:AC98" si="26">G76*$D$89</f>
        <v>-0.76761606886798273</v>
      </c>
      <c r="H98" s="255">
        <f t="shared" si="26"/>
        <v>-0.76098107359602318</v>
      </c>
      <c r="I98" s="255">
        <f t="shared" si="26"/>
        <v>-0.75430028975689956</v>
      </c>
      <c r="J98" s="255">
        <f t="shared" si="26"/>
        <v>-0.74757324172428241</v>
      </c>
      <c r="K98" s="255">
        <f t="shared" si="26"/>
        <v>-0.74079944726156333</v>
      </c>
      <c r="L98" s="255">
        <f t="shared" si="26"/>
        <v>-0.73397841740661596</v>
      </c>
      <c r="M98" s="255">
        <f t="shared" si="26"/>
        <v>-0.72710965635413949</v>
      </c>
      <c r="N98" s="255">
        <f t="shared" si="26"/>
        <v>-0.72019266133552406</v>
      </c>
      <c r="O98" s="255">
        <f t="shared" si="26"/>
        <v>-0.7132269224961747</v>
      </c>
      <c r="P98" s="255">
        <f t="shared" si="26"/>
        <v>-0.70621192277023148</v>
      </c>
      <c r="Q98" s="255">
        <f t="shared" si="26"/>
        <v>-0.6991471377526266</v>
      </c>
      <c r="R98" s="255">
        <f t="shared" si="26"/>
        <v>-0.69203203556840309</v>
      </c>
      <c r="S98" s="255">
        <f t="shared" si="26"/>
        <v>-0.68486607673923539</v>
      </c>
      <c r="T98" s="255">
        <f t="shared" si="26"/>
        <v>-0.67764871404707394</v>
      </c>
      <c r="U98" s="255">
        <f t="shared" si="26"/>
        <v>-0.67037939239484601</v>
      </c>
      <c r="V98" s="255">
        <f t="shared" si="26"/>
        <v>-0.66305754866414057</v>
      </c>
      <c r="W98" s="255">
        <f t="shared" si="26"/>
        <v>-0.65568261156979046</v>
      </c>
      <c r="X98" s="255">
        <f t="shared" si="26"/>
        <v>-0.64825400151128454</v>
      </c>
      <c r="Y98" s="255">
        <f t="shared" si="26"/>
        <v>-0.64077113042092337</v>
      </c>
      <c r="Z98" s="255">
        <f t="shared" si="26"/>
        <v>-0.63323340160863495</v>
      </c>
      <c r="AA98" s="255">
        <f t="shared" si="26"/>
        <v>-0.62564020960336197</v>
      </c>
      <c r="AB98" s="255">
        <f t="shared" si="26"/>
        <v>-0.61799093999094046</v>
      </c>
      <c r="AC98" s="268">
        <f t="shared" si="26"/>
        <v>-0.61028496924836872</v>
      </c>
      <c r="AD98" s="346">
        <f t="shared" si="21"/>
        <v>-16.66518361539077</v>
      </c>
    </row>
    <row r="99" spans="1:30" s="53" customFormat="1" ht="12">
      <c r="A99" s="44"/>
      <c r="B99" s="5"/>
      <c r="C99" s="299" t="s">
        <v>155</v>
      </c>
      <c r="D99" s="253"/>
      <c r="E99" s="217"/>
      <c r="F99" s="255">
        <f>F98*F97</f>
        <v>0</v>
      </c>
      <c r="G99" s="255">
        <f t="shared" ref="G99:AC99" si="27">G98*G97</f>
        <v>-195.74801335142814</v>
      </c>
      <c r="H99" s="255">
        <f t="shared" si="27"/>
        <v>-785.08177592719517</v>
      </c>
      <c r="I99" s="255">
        <f t="shared" si="27"/>
        <v>-786.96926751798537</v>
      </c>
      <c r="J99" s="255">
        <f t="shared" si="27"/>
        <v>-788.65242751494281</v>
      </c>
      <c r="K99" s="255">
        <f t="shared" si="27"/>
        <v>-790.12912605980284</v>
      </c>
      <c r="L99" s="255">
        <f t="shared" si="27"/>
        <v>-791.39720359021203</v>
      </c>
      <c r="M99" s="255">
        <f t="shared" si="27"/>
        <v>-792.45447032008349</v>
      </c>
      <c r="N99" s="255">
        <f t="shared" si="27"/>
        <v>-790.12580620472841</v>
      </c>
      <c r="O99" s="255">
        <f t="shared" si="27"/>
        <v>-787.64323579196059</v>
      </c>
      <c r="P99" s="255">
        <f t="shared" si="27"/>
        <v>-785.00512647090238</v>
      </c>
      <c r="Q99" s="255">
        <f t="shared" si="27"/>
        <v>-782.20982245747348</v>
      </c>
      <c r="R99" s="255">
        <f t="shared" si="27"/>
        <v>-779.2556443817756</v>
      </c>
      <c r="S99" s="255">
        <f t="shared" si="27"/>
        <v>-776.14088886663433</v>
      </c>
      <c r="T99" s="255">
        <f t="shared" si="27"/>
        <v>-772.86382809706402</v>
      </c>
      <c r="U99" s="255">
        <f t="shared" si="27"/>
        <v>-769.42270938044089</v>
      </c>
      <c r="V99" s="255">
        <f t="shared" si="27"/>
        <v>-765.81575469714164</v>
      </c>
      <c r="W99" s="255">
        <f t="shared" si="27"/>
        <v>-762.0411602414016</v>
      </c>
      <c r="X99" s="255">
        <f t="shared" si="27"/>
        <v>-758.40841708006644</v>
      </c>
      <c r="Y99" s="255">
        <f t="shared" si="27"/>
        <v>-754.59716005766995</v>
      </c>
      <c r="Z99" s="255">
        <f t="shared" si="27"/>
        <v>-750.60542611812775</v>
      </c>
      <c r="AA99" s="255">
        <f t="shared" si="27"/>
        <v>-746.4312233167168</v>
      </c>
      <c r="AB99" s="255">
        <f t="shared" si="27"/>
        <v>-742.07253028670254</v>
      </c>
      <c r="AC99" s="268">
        <f t="shared" si="27"/>
        <v>-737.52729569410326</v>
      </c>
      <c r="AD99" s="346">
        <f t="shared" si="21"/>
        <v>-17190.598313424562</v>
      </c>
    </row>
    <row r="100" spans="1:30" s="53" customFormat="1" ht="12">
      <c r="A100" s="44"/>
      <c r="B100" s="5"/>
      <c r="C100" s="78" t="s">
        <v>428</v>
      </c>
      <c r="D100" s="253">
        <f>D84</f>
        <v>5.9830927281646424</v>
      </c>
      <c r="E100" s="217"/>
      <c r="F100" s="255">
        <f>$D100*F97</f>
        <v>0</v>
      </c>
      <c r="G100" s="255">
        <f t="shared" ref="G100:AC100" si="28">$D100*G97</f>
        <v>1525.7347556087032</v>
      </c>
      <c r="H100" s="255">
        <f t="shared" si="28"/>
        <v>6172.5806692771494</v>
      </c>
      <c r="I100" s="255">
        <f t="shared" si="28"/>
        <v>6242.222316119487</v>
      </c>
      <c r="J100" s="255">
        <f t="shared" si="28"/>
        <v>6311.8639629618247</v>
      </c>
      <c r="K100" s="255">
        <f t="shared" si="28"/>
        <v>6381.5056098041641</v>
      </c>
      <c r="L100" s="255">
        <f t="shared" si="28"/>
        <v>6451.1472566465</v>
      </c>
      <c r="M100" s="255">
        <f t="shared" si="28"/>
        <v>6520.7889034888376</v>
      </c>
      <c r="N100" s="255">
        <f t="shared" si="28"/>
        <v>6564.0712815266143</v>
      </c>
      <c r="O100" s="255">
        <f t="shared" si="28"/>
        <v>6607.3536595643918</v>
      </c>
      <c r="P100" s="255">
        <f t="shared" si="28"/>
        <v>6650.6360376021694</v>
      </c>
      <c r="Q100" s="255">
        <f t="shared" si="28"/>
        <v>6693.9184156399469</v>
      </c>
      <c r="R100" s="255">
        <f t="shared" si="28"/>
        <v>6737.2007936777209</v>
      </c>
      <c r="S100" s="255">
        <f t="shared" si="28"/>
        <v>6780.4831717155002</v>
      </c>
      <c r="T100" s="255">
        <f t="shared" si="28"/>
        <v>6823.765549753276</v>
      </c>
      <c r="U100" s="255">
        <f t="shared" si="28"/>
        <v>6867.0479277910536</v>
      </c>
      <c r="V100" s="255">
        <f t="shared" si="28"/>
        <v>6910.3303058288311</v>
      </c>
      <c r="W100" s="255">
        <f t="shared" si="28"/>
        <v>6953.6126838666069</v>
      </c>
      <c r="X100" s="255">
        <f t="shared" si="28"/>
        <v>6999.7684158246011</v>
      </c>
      <c r="Y100" s="255">
        <f t="shared" si="28"/>
        <v>7045.9241477825972</v>
      </c>
      <c r="Z100" s="255">
        <f t="shared" si="28"/>
        <v>7092.0798797405914</v>
      </c>
      <c r="AA100" s="255">
        <f t="shared" si="28"/>
        <v>7138.2356116985866</v>
      </c>
      <c r="AB100" s="255">
        <f t="shared" si="28"/>
        <v>7184.3913436565808</v>
      </c>
      <c r="AC100" s="268">
        <f t="shared" si="28"/>
        <v>7230.5470756145751</v>
      </c>
      <c r="AD100" s="346">
        <f t="shared" si="21"/>
        <v>149885.20977519031</v>
      </c>
    </row>
    <row r="101" spans="1:30" s="53" customFormat="1" ht="12">
      <c r="A101" s="45"/>
      <c r="B101" s="5"/>
      <c r="C101" s="78"/>
      <c r="D101" s="253"/>
      <c r="E101" s="217"/>
      <c r="F101" s="45"/>
      <c r="G101" s="57"/>
      <c r="AC101" s="263"/>
      <c r="AD101" s="338"/>
    </row>
    <row r="102" spans="1:30" s="53" customFormat="1" ht="12">
      <c r="A102" s="45"/>
      <c r="B102" s="55"/>
      <c r="C102" s="5" t="s">
        <v>487</v>
      </c>
      <c r="D102" s="253"/>
      <c r="E102" s="220"/>
      <c r="F102" s="83">
        <f>F93+F94+F99+F100</f>
        <v>0</v>
      </c>
      <c r="G102" s="83">
        <f t="shared" ref="G102:AC102" si="29">G93+G94+G99+G100</f>
        <v>1479.1582620274646</v>
      </c>
      <c r="H102" s="83">
        <f t="shared" si="29"/>
        <v>6005.1354760748454</v>
      </c>
      <c r="I102" s="83">
        <f t="shared" si="29"/>
        <v>6094.2579317498021</v>
      </c>
      <c r="J102" s="83">
        <f t="shared" si="29"/>
        <v>6184.006855639911</v>
      </c>
      <c r="K102" s="83">
        <f t="shared" si="29"/>
        <v>6274.3887777608215</v>
      </c>
      <c r="L102" s="83">
        <f t="shared" si="29"/>
        <v>6365.4103191991053</v>
      </c>
      <c r="M102" s="83">
        <f t="shared" si="29"/>
        <v>6457.078193705468</v>
      </c>
      <c r="N102" s="83">
        <f t="shared" si="29"/>
        <v>6523.2040506063904</v>
      </c>
      <c r="O102" s="83">
        <f t="shared" si="29"/>
        <v>6589.8017748364518</v>
      </c>
      <c r="P102" s="83">
        <f t="shared" si="29"/>
        <v>6656.8763718811142</v>
      </c>
      <c r="Q102" s="83">
        <f t="shared" si="29"/>
        <v>6724.43291827347</v>
      </c>
      <c r="R102" s="83">
        <f t="shared" si="29"/>
        <v>6792.4765628592841</v>
      </c>
      <c r="S102" s="83">
        <f t="shared" si="29"/>
        <v>6861.0125280891816</v>
      </c>
      <c r="T102" s="83">
        <f t="shared" si="29"/>
        <v>6930.0461113386118</v>
      </c>
      <c r="U102" s="83">
        <f t="shared" si="29"/>
        <v>6999.582686256359</v>
      </c>
      <c r="V102" s="83">
        <f t="shared" si="29"/>
        <v>7069.6277041422372</v>
      </c>
      <c r="W102" s="83">
        <f t="shared" si="29"/>
        <v>7140.1866953547978</v>
      </c>
      <c r="X102" s="83">
        <f t="shared" si="29"/>
        <v>7214.2266582154989</v>
      </c>
      <c r="Y102" s="83">
        <f t="shared" si="29"/>
        <v>7288.8139336959539</v>
      </c>
      <c r="Z102" s="83">
        <f t="shared" si="29"/>
        <v>7363.9545404064884</v>
      </c>
      <c r="AA102" s="83">
        <f t="shared" si="29"/>
        <v>7439.654585528242</v>
      </c>
      <c r="AB102" s="83">
        <f t="shared" si="29"/>
        <v>7515.920266448441</v>
      </c>
      <c r="AC102" s="272">
        <f t="shared" si="29"/>
        <v>7592.7578724320729</v>
      </c>
      <c r="AD102" s="355">
        <f t="shared" ref="AD102:AD171" si="30">SUM(F102:AC102)</f>
        <v>151562.011076522</v>
      </c>
    </row>
    <row r="103" spans="1:30" s="53" customFormat="1" ht="12">
      <c r="A103" s="45"/>
      <c r="B103" s="45"/>
      <c r="D103" s="209"/>
      <c r="E103" s="217"/>
      <c r="F103" s="45"/>
      <c r="G103" s="57"/>
      <c r="AC103" s="263"/>
      <c r="AD103" s="338"/>
    </row>
    <row r="104" spans="1:30" s="53" customFormat="1" ht="12">
      <c r="A104" s="45"/>
      <c r="B104" s="5" t="s">
        <v>507</v>
      </c>
      <c r="C104" s="5"/>
      <c r="D104" s="209"/>
      <c r="E104" s="217"/>
      <c r="G104" s="57"/>
      <c r="AC104" s="263"/>
      <c r="AD104" s="338"/>
    </row>
    <row r="105" spans="1:30" s="53" customFormat="1" ht="12">
      <c r="A105" s="45"/>
      <c r="B105" s="55" t="s">
        <v>508</v>
      </c>
      <c r="C105" s="225" t="s">
        <v>509</v>
      </c>
      <c r="D105" s="287">
        <v>5.3999999999999999E-2</v>
      </c>
      <c r="E105" s="217"/>
      <c r="G105" s="57"/>
      <c r="AC105" s="263"/>
      <c r="AD105" s="338"/>
    </row>
    <row r="106" spans="1:30" s="53" customFormat="1" ht="12">
      <c r="A106" s="45"/>
      <c r="C106" s="70" t="s">
        <v>505</v>
      </c>
      <c r="D106" s="209"/>
      <c r="E106" s="217"/>
      <c r="F106" s="255">
        <f>-F23*$D$105</f>
        <v>0</v>
      </c>
      <c r="G106" s="255">
        <f t="shared" ref="G106:AC106" si="31">-G23*$D$105</f>
        <v>548.85033856048449</v>
      </c>
      <c r="H106" s="255">
        <f t="shared" si="31"/>
        <v>2220.4534422977531</v>
      </c>
      <c r="I106" s="255">
        <f t="shared" si="31"/>
        <v>2245.5055303535682</v>
      </c>
      <c r="J106" s="255">
        <f t="shared" si="31"/>
        <v>2270.5576184093829</v>
      </c>
      <c r="K106" s="255">
        <f t="shared" si="31"/>
        <v>2295.609706465199</v>
      </c>
      <c r="L106" s="255">
        <f t="shared" si="31"/>
        <v>2320.6617945210128</v>
      </c>
      <c r="M106" s="255">
        <f t="shared" si="31"/>
        <v>2345.7138825768284</v>
      </c>
      <c r="N106" s="255">
        <f t="shared" si="31"/>
        <v>2361.2837893069523</v>
      </c>
      <c r="O106" s="255">
        <f t="shared" si="31"/>
        <v>2376.853696037078</v>
      </c>
      <c r="P106" s="255">
        <f t="shared" si="31"/>
        <v>2392.4236027672014</v>
      </c>
      <c r="Q106" s="255">
        <f t="shared" si="31"/>
        <v>2407.9935094973266</v>
      </c>
      <c r="R106" s="255">
        <f t="shared" si="31"/>
        <v>2423.56341622745</v>
      </c>
      <c r="S106" s="255">
        <f t="shared" si="31"/>
        <v>2439.1333229575753</v>
      </c>
      <c r="T106" s="255">
        <f t="shared" si="31"/>
        <v>2454.7032296876996</v>
      </c>
      <c r="U106" s="255">
        <f t="shared" si="31"/>
        <v>2470.2731364178244</v>
      </c>
      <c r="V106" s="255">
        <f t="shared" si="31"/>
        <v>2485.8430431479487</v>
      </c>
      <c r="W106" s="255">
        <f t="shared" si="31"/>
        <v>2501.4129498780731</v>
      </c>
      <c r="X106" s="255">
        <f t="shared" si="31"/>
        <v>2518.0164840235248</v>
      </c>
      <c r="Y106" s="255">
        <f t="shared" si="31"/>
        <v>2534.6200181689774</v>
      </c>
      <c r="Z106" s="255">
        <f t="shared" si="31"/>
        <v>2551.2235523144295</v>
      </c>
      <c r="AA106" s="255">
        <f t="shared" si="31"/>
        <v>2567.8270864598826</v>
      </c>
      <c r="AB106" s="255">
        <f t="shared" si="31"/>
        <v>2584.4306206053343</v>
      </c>
      <c r="AC106" s="268">
        <f t="shared" si="31"/>
        <v>2601.034154750786</v>
      </c>
      <c r="AD106" s="346">
        <f t="shared" si="30"/>
        <v>53917.987925432295</v>
      </c>
    </row>
    <row r="107" spans="1:30" s="53" customFormat="1" ht="12">
      <c r="A107" s="45"/>
      <c r="B107" s="45"/>
      <c r="C107" s="225" t="s">
        <v>514</v>
      </c>
      <c r="D107" s="209">
        <v>3.2</v>
      </c>
      <c r="E107" s="217"/>
      <c r="G107" s="57"/>
      <c r="AC107" s="263"/>
      <c r="AD107" s="338"/>
    </row>
    <row r="108" spans="1:30" s="53" customFormat="1" ht="12">
      <c r="A108" s="45"/>
      <c r="B108" s="45"/>
      <c r="C108" s="224" t="s">
        <v>384</v>
      </c>
      <c r="D108" s="253">
        <f>'Price Assumptions'!B3</f>
        <v>12.5</v>
      </c>
      <c r="E108" s="217"/>
      <c r="G108" s="57"/>
      <c r="AC108" s="263"/>
      <c r="AD108" s="338"/>
    </row>
    <row r="109" spans="1:30" s="53" customFormat="1" ht="12">
      <c r="A109" s="45"/>
      <c r="B109" s="45"/>
      <c r="C109" s="70" t="s">
        <v>562</v>
      </c>
      <c r="D109" s="209"/>
      <c r="E109" s="217"/>
      <c r="F109" s="288"/>
      <c r="G109" s="288"/>
      <c r="H109" s="288"/>
      <c r="I109" s="288"/>
      <c r="J109" s="288"/>
      <c r="K109" s="288"/>
      <c r="L109" s="288"/>
      <c r="M109" s="288"/>
      <c r="N109" s="288"/>
      <c r="O109" s="288"/>
      <c r="P109" s="288"/>
      <c r="Q109" s="288"/>
      <c r="R109" s="288"/>
      <c r="S109" s="288"/>
      <c r="T109" s="288"/>
      <c r="U109" s="288"/>
      <c r="V109" s="288"/>
      <c r="W109" s="288"/>
      <c r="X109" s="288"/>
      <c r="Y109" s="288"/>
      <c r="Z109" s="288"/>
      <c r="AA109" s="288"/>
      <c r="AB109" s="288"/>
      <c r="AC109" s="387"/>
      <c r="AD109" s="356"/>
    </row>
    <row r="110" spans="1:30" s="53" customFormat="1" ht="12">
      <c r="A110" s="45"/>
      <c r="B110" s="55" t="s">
        <v>388</v>
      </c>
      <c r="C110" s="225" t="s">
        <v>515</v>
      </c>
      <c r="D110" s="209">
        <v>2</v>
      </c>
      <c r="E110" s="217"/>
      <c r="G110" s="57"/>
      <c r="AC110" s="263"/>
      <c r="AD110" s="338"/>
    </row>
    <row r="111" spans="1:30" s="53" customFormat="1" ht="12">
      <c r="A111" s="45"/>
      <c r="B111" s="45"/>
      <c r="C111" s="224" t="s">
        <v>384</v>
      </c>
      <c r="D111" s="253">
        <f>D108</f>
        <v>12.5</v>
      </c>
      <c r="E111" s="217"/>
      <c r="F111" s="45"/>
      <c r="G111" s="57"/>
      <c r="AC111" s="263"/>
      <c r="AD111" s="338"/>
    </row>
    <row r="112" spans="1:30" s="53" customFormat="1" ht="12">
      <c r="A112" s="45"/>
      <c r="B112" s="45"/>
      <c r="C112" s="224" t="s">
        <v>521</v>
      </c>
      <c r="D112" s="322">
        <f>'Mode Operating Assumptions'!C45</f>
        <v>8.4250000000000002E-3</v>
      </c>
      <c r="E112" s="217"/>
      <c r="F112" s="45"/>
      <c r="G112" s="57"/>
      <c r="AC112" s="263"/>
      <c r="AD112" s="338"/>
    </row>
    <row r="113" spans="1:30" s="53" customFormat="1" ht="12">
      <c r="A113" s="45"/>
      <c r="B113" s="45"/>
      <c r="C113" s="70" t="s">
        <v>516</v>
      </c>
      <c r="D113" s="209"/>
      <c r="E113" s="217"/>
      <c r="F113" s="255"/>
      <c r="G113" s="255"/>
      <c r="H113" s="255"/>
      <c r="I113" s="255"/>
      <c r="J113" s="45"/>
      <c r="AC113" s="263"/>
      <c r="AD113" s="338"/>
    </row>
    <row r="114" spans="1:30" s="53" customFormat="1" ht="12">
      <c r="A114" s="45"/>
      <c r="B114" s="45"/>
      <c r="C114" s="5"/>
      <c r="D114" s="209"/>
      <c r="E114" s="217"/>
      <c r="F114" s="45"/>
      <c r="G114" s="57"/>
      <c r="AC114" s="263"/>
      <c r="AD114" s="338"/>
    </row>
    <row r="115" spans="1:30" s="53" customFormat="1" ht="12">
      <c r="A115" s="45"/>
      <c r="B115" s="45"/>
      <c r="C115" s="5" t="s">
        <v>517</v>
      </c>
      <c r="D115" s="209"/>
      <c r="E115" s="217"/>
      <c r="F115" s="289">
        <f>F106+F109+F113</f>
        <v>0</v>
      </c>
      <c r="G115" s="289">
        <f t="shared" ref="G115:AC115" si="32">G106+G109+G113</f>
        <v>548.85033856048449</v>
      </c>
      <c r="H115" s="289">
        <f t="shared" si="32"/>
        <v>2220.4534422977531</v>
      </c>
      <c r="I115" s="289">
        <f t="shared" si="32"/>
        <v>2245.5055303535682</v>
      </c>
      <c r="J115" s="289">
        <f t="shared" si="32"/>
        <v>2270.5576184093829</v>
      </c>
      <c r="K115" s="289">
        <f t="shared" si="32"/>
        <v>2295.609706465199</v>
      </c>
      <c r="L115" s="289">
        <f t="shared" si="32"/>
        <v>2320.6617945210128</v>
      </c>
      <c r="M115" s="289">
        <f t="shared" si="32"/>
        <v>2345.7138825768284</v>
      </c>
      <c r="N115" s="289">
        <f t="shared" si="32"/>
        <v>2361.2837893069523</v>
      </c>
      <c r="O115" s="289">
        <f t="shared" si="32"/>
        <v>2376.853696037078</v>
      </c>
      <c r="P115" s="289">
        <f t="shared" si="32"/>
        <v>2392.4236027672014</v>
      </c>
      <c r="Q115" s="289">
        <f t="shared" si="32"/>
        <v>2407.9935094973266</v>
      </c>
      <c r="R115" s="289">
        <f t="shared" si="32"/>
        <v>2423.56341622745</v>
      </c>
      <c r="S115" s="289">
        <f t="shared" si="32"/>
        <v>2439.1333229575753</v>
      </c>
      <c r="T115" s="289">
        <f t="shared" si="32"/>
        <v>2454.7032296876996</v>
      </c>
      <c r="U115" s="289">
        <f t="shared" si="32"/>
        <v>2470.2731364178244</v>
      </c>
      <c r="V115" s="289">
        <f t="shared" si="32"/>
        <v>2485.8430431479487</v>
      </c>
      <c r="W115" s="289">
        <f t="shared" si="32"/>
        <v>2501.4129498780731</v>
      </c>
      <c r="X115" s="289">
        <f t="shared" si="32"/>
        <v>2518.0164840235248</v>
      </c>
      <c r="Y115" s="289">
        <f t="shared" si="32"/>
        <v>2534.6200181689774</v>
      </c>
      <c r="Z115" s="289">
        <f t="shared" si="32"/>
        <v>2551.2235523144295</v>
      </c>
      <c r="AA115" s="289">
        <f t="shared" si="32"/>
        <v>2567.8270864598826</v>
      </c>
      <c r="AB115" s="289">
        <f t="shared" si="32"/>
        <v>2584.4306206053343</v>
      </c>
      <c r="AC115" s="318">
        <f t="shared" si="32"/>
        <v>2601.034154750786</v>
      </c>
      <c r="AD115" s="347">
        <f t="shared" si="30"/>
        <v>53917.987925432295</v>
      </c>
    </row>
    <row r="116" spans="1:30" s="53" customFormat="1" ht="12">
      <c r="A116" s="45"/>
      <c r="B116" s="45"/>
      <c r="C116" s="5"/>
      <c r="D116" s="209"/>
      <c r="E116" s="217"/>
      <c r="F116" s="45"/>
      <c r="G116" s="57"/>
      <c r="AC116" s="263"/>
      <c r="AD116" s="338"/>
    </row>
    <row r="117" spans="1:30" s="53" customFormat="1" ht="12">
      <c r="A117" s="45"/>
      <c r="B117" s="55" t="s">
        <v>501</v>
      </c>
      <c r="C117" s="5"/>
      <c r="D117" s="209"/>
      <c r="E117" s="217"/>
      <c r="F117" s="233">
        <f>F24</f>
        <v>0</v>
      </c>
      <c r="G117" s="233">
        <f t="shared" ref="G117:AC117" si="33">G24</f>
        <v>1791.1110366732573</v>
      </c>
      <c r="H117" s="233">
        <f t="shared" si="33"/>
        <v>7082.8910687526295</v>
      </c>
      <c r="I117" s="233">
        <f t="shared" si="33"/>
        <v>7004.9328991640386</v>
      </c>
      <c r="J117" s="233">
        <f t="shared" si="33"/>
        <v>6930.3370653378015</v>
      </c>
      <c r="K117" s="233">
        <f t="shared" si="33"/>
        <v>6858.890632897429</v>
      </c>
      <c r="L117" s="233">
        <f t="shared" si="33"/>
        <v>6790.3982757404046</v>
      </c>
      <c r="M117" s="233">
        <f t="shared" si="33"/>
        <v>6724.6804927931453</v>
      </c>
      <c r="N117" s="233">
        <f t="shared" si="33"/>
        <v>6634.9282289090352</v>
      </c>
      <c r="O117" s="233">
        <f t="shared" si="33"/>
        <v>6675.1411523648612</v>
      </c>
      <c r="P117" s="233">
        <f t="shared" si="33"/>
        <v>6715.3115091015106</v>
      </c>
      <c r="Q117" s="233">
        <f t="shared" si="33"/>
        <v>6755.4393666706756</v>
      </c>
      <c r="R117" s="233">
        <f t="shared" si="33"/>
        <v>6795.5247924811711</v>
      </c>
      <c r="S117" s="233">
        <f t="shared" si="33"/>
        <v>6835.5678537993435</v>
      </c>
      <c r="T117" s="233">
        <f t="shared" si="33"/>
        <v>6875.5686177494208</v>
      </c>
      <c r="U117" s="233">
        <f t="shared" si="33"/>
        <v>6915.5271513139069</v>
      </c>
      <c r="V117" s="233">
        <f t="shared" si="33"/>
        <v>6955.4435213339466</v>
      </c>
      <c r="W117" s="233">
        <f t="shared" si="33"/>
        <v>6995.3177945096986</v>
      </c>
      <c r="X117" s="233">
        <f t="shared" si="33"/>
        <v>7038.039101158337</v>
      </c>
      <c r="Y117" s="233">
        <f t="shared" si="33"/>
        <v>7080.7154002695315</v>
      </c>
      <c r="Z117" s="233">
        <f t="shared" si="33"/>
        <v>7123.3467629300058</v>
      </c>
      <c r="AA117" s="233">
        <f t="shared" si="33"/>
        <v>7165.9332600768648</v>
      </c>
      <c r="AB117" s="233">
        <f t="shared" si="33"/>
        <v>7208.4749624979795</v>
      </c>
      <c r="AC117" s="389">
        <f t="shared" si="33"/>
        <v>7250.971940832389</v>
      </c>
      <c r="AD117" s="348">
        <f t="shared" si="30"/>
        <v>154204.49288735737</v>
      </c>
    </row>
    <row r="118" spans="1:30" s="5" customFormat="1" ht="12">
      <c r="A118" s="58"/>
      <c r="B118" s="58"/>
      <c r="C118" s="5" t="s">
        <v>590</v>
      </c>
      <c r="D118" s="212"/>
      <c r="E118" s="220"/>
      <c r="F118" s="83">
        <f>F117</f>
        <v>0</v>
      </c>
      <c r="G118" s="83">
        <f t="shared" ref="G118:AC118" si="34">G117</f>
        <v>1791.1110366732573</v>
      </c>
      <c r="H118" s="83">
        <f t="shared" si="34"/>
        <v>7082.8910687526295</v>
      </c>
      <c r="I118" s="83">
        <f>I117</f>
        <v>7004.9328991640386</v>
      </c>
      <c r="J118" s="83">
        <f t="shared" si="34"/>
        <v>6930.3370653378015</v>
      </c>
      <c r="K118" s="83">
        <f t="shared" si="34"/>
        <v>6858.890632897429</v>
      </c>
      <c r="L118" s="83">
        <f t="shared" si="34"/>
        <v>6790.3982757404046</v>
      </c>
      <c r="M118" s="83">
        <f t="shared" si="34"/>
        <v>6724.6804927931453</v>
      </c>
      <c r="N118" s="83">
        <f t="shared" si="34"/>
        <v>6634.9282289090352</v>
      </c>
      <c r="O118" s="83">
        <f t="shared" si="34"/>
        <v>6675.1411523648612</v>
      </c>
      <c r="P118" s="83">
        <f t="shared" si="34"/>
        <v>6715.3115091015106</v>
      </c>
      <c r="Q118" s="83">
        <f t="shared" si="34"/>
        <v>6755.4393666706756</v>
      </c>
      <c r="R118" s="83">
        <f t="shared" si="34"/>
        <v>6795.5247924811711</v>
      </c>
      <c r="S118" s="83">
        <f t="shared" si="34"/>
        <v>6835.5678537993435</v>
      </c>
      <c r="T118" s="83">
        <f t="shared" si="34"/>
        <v>6875.5686177494208</v>
      </c>
      <c r="U118" s="83">
        <f t="shared" si="34"/>
        <v>6915.5271513139069</v>
      </c>
      <c r="V118" s="83">
        <f t="shared" si="34"/>
        <v>6955.4435213339466</v>
      </c>
      <c r="W118" s="83">
        <f t="shared" si="34"/>
        <v>6995.3177945096986</v>
      </c>
      <c r="X118" s="83">
        <f t="shared" si="34"/>
        <v>7038.039101158337</v>
      </c>
      <c r="Y118" s="83">
        <f t="shared" si="34"/>
        <v>7080.7154002695315</v>
      </c>
      <c r="Z118" s="83">
        <f t="shared" si="34"/>
        <v>7123.3467629300058</v>
      </c>
      <c r="AA118" s="83">
        <f t="shared" si="34"/>
        <v>7165.9332600768648</v>
      </c>
      <c r="AB118" s="83">
        <f t="shared" si="34"/>
        <v>7208.4749624979795</v>
      </c>
      <c r="AC118" s="272">
        <f t="shared" si="34"/>
        <v>7250.971940832389</v>
      </c>
      <c r="AD118" s="355">
        <f t="shared" si="30"/>
        <v>154204.49288735737</v>
      </c>
    </row>
    <row r="119" spans="1:30" s="110" customFormat="1" ht="12">
      <c r="A119" s="107"/>
      <c r="B119" s="107"/>
      <c r="C119" s="108"/>
      <c r="D119" s="208"/>
      <c r="E119" s="216"/>
      <c r="F119" s="109"/>
      <c r="G119" s="109"/>
      <c r="H119" s="109"/>
      <c r="I119" s="109"/>
      <c r="J119" s="109"/>
      <c r="K119" s="109"/>
      <c r="L119" s="109"/>
      <c r="M119" s="109"/>
      <c r="N119" s="109"/>
      <c r="O119" s="109"/>
      <c r="P119" s="109"/>
      <c r="Q119" s="109"/>
      <c r="R119" s="109"/>
      <c r="S119" s="109"/>
      <c r="T119" s="109"/>
      <c r="U119" s="109"/>
      <c r="V119" s="109"/>
      <c r="W119" s="109"/>
      <c r="X119" s="109"/>
      <c r="Y119" s="109"/>
      <c r="Z119" s="109"/>
      <c r="AC119" s="262"/>
      <c r="AD119" s="337"/>
    </row>
    <row r="120" spans="1:30" s="53" customFormat="1" ht="12">
      <c r="A120" s="58" t="s">
        <v>344</v>
      </c>
      <c r="B120" s="58"/>
      <c r="D120" s="209"/>
      <c r="E120" s="217"/>
      <c r="F120" s="45"/>
      <c r="G120" s="57"/>
      <c r="AC120" s="263"/>
      <c r="AD120" s="338"/>
    </row>
    <row r="121" spans="1:30" s="53" customFormat="1" ht="12">
      <c r="A121" s="55"/>
      <c r="B121" s="55"/>
      <c r="D121" s="209"/>
      <c r="E121" s="217"/>
      <c r="F121" s="45"/>
      <c r="G121" s="57"/>
      <c r="AC121" s="263"/>
      <c r="AD121" s="338"/>
    </row>
    <row r="122" spans="1:30" s="53" customFormat="1" ht="12">
      <c r="A122" s="45"/>
      <c r="B122" s="45"/>
      <c r="C122" s="46" t="s">
        <v>88</v>
      </c>
      <c r="D122" s="209"/>
      <c r="E122" s="217"/>
      <c r="F122" s="45"/>
      <c r="G122" s="57"/>
      <c r="L122" s="61"/>
      <c r="AC122" s="263"/>
      <c r="AD122" s="338"/>
    </row>
    <row r="123" spans="1:30" s="53" customFormat="1" ht="12">
      <c r="A123" s="45"/>
      <c r="B123" s="45"/>
      <c r="C123" s="78" t="s">
        <v>42</v>
      </c>
      <c r="D123" s="209"/>
      <c r="E123" s="217"/>
      <c r="F123" s="45"/>
      <c r="G123" s="57"/>
      <c r="L123" s="61"/>
      <c r="AC123" s="263"/>
      <c r="AD123" s="338"/>
    </row>
    <row r="124" spans="1:30" s="53" customFormat="1" ht="12">
      <c r="A124" s="45"/>
      <c r="B124" s="45"/>
      <c r="C124" s="48" t="s">
        <v>97</v>
      </c>
      <c r="D124" s="209"/>
      <c r="E124" s="219"/>
      <c r="F124" s="71">
        <f>((('Emissions Assumptions'!D9/907185)+('Emissions Assumptions'!D11/907185))*'Forest Glen'!F36)+(('Emissions Assumptions'!D10/907185)*'Forest Glen'!F37)</f>
        <v>0</v>
      </c>
      <c r="G124" s="71">
        <f>((('Emissions Assumptions'!E9/907185)+('Emissions Assumptions'!E11/907185))*'Forest Glen'!G36)+(('Emissions Assumptions'!E10/907185)*'Forest Glen'!G37)</f>
        <v>0</v>
      </c>
      <c r="H124" s="71">
        <f>((('Emissions Assumptions'!F9/907185)+('Emissions Assumptions'!F11/907185))*'Forest Glen'!H36)+(('Emissions Assumptions'!F10/907185)*'Forest Glen'!H37)</f>
        <v>0</v>
      </c>
      <c r="I124" s="71">
        <f>((('Emissions Assumptions'!G9/907185)+('Emissions Assumptions'!G11/907185))*'Forest Glen'!I36)+(('Emissions Assumptions'!G10/907185)*'Forest Glen'!I37)</f>
        <v>0</v>
      </c>
      <c r="J124" s="71">
        <f>((('Emissions Assumptions'!H9/907185)+('Emissions Assumptions'!H11/907185))*'Forest Glen'!J36)+(('Emissions Assumptions'!H10/907185)*'Forest Glen'!J37)</f>
        <v>-7.0983206929136497E-2</v>
      </c>
      <c r="K124" s="71">
        <f>((('Emissions Assumptions'!I9/907185)+('Emissions Assumptions'!I11/907185))*'Forest Glen'!K36)+(('Emissions Assumptions'!I10/907185)*'Forest Glen'!K37)</f>
        <v>-9.1579974940534742E-2</v>
      </c>
      <c r="L124" s="71">
        <f>((('Emissions Assumptions'!J9/907185)+('Emissions Assumptions'!J11/907185))*'Forest Glen'!L36)+(('Emissions Assumptions'!J10/907185)*'Forest Glen'!L37)</f>
        <v>-8.7444191355362064E-2</v>
      </c>
      <c r="M124" s="71">
        <f>((('Emissions Assumptions'!K9/907185)+('Emissions Assumptions'!K11/907185))*'Forest Glen'!M36)+(('Emissions Assumptions'!K10/907185)*'Forest Glen'!M37)</f>
        <v>-5.556757548868678E-2</v>
      </c>
      <c r="N124" s="71">
        <f>((('Emissions Assumptions'!L9/907185)+('Emissions Assumptions'!L11/907185))*'Forest Glen'!N36)+(('Emissions Assumptions'!L10/907185)*'Forest Glen'!N37)</f>
        <v>-7.7808098296089007E-2</v>
      </c>
      <c r="O124" s="71">
        <f>((('Emissions Assumptions'!M9/907185)+('Emissions Assumptions'!M11/907185))*'Forest Glen'!O36)+(('Emissions Assumptions'!M10/907185)*'Forest Glen'!O37)</f>
        <v>-7.2423637518812423E-2</v>
      </c>
      <c r="P124" s="71">
        <f>((('Emissions Assumptions'!N9/907185)+('Emissions Assumptions'!N11/907185))*'Forest Glen'!P36)+(('Emissions Assumptions'!N10/907185)*'Forest Glen'!P37)</f>
        <v>-7.2047211969132538E-2</v>
      </c>
      <c r="Q124" s="71">
        <f>((('Emissions Assumptions'!O9/907185)+('Emissions Assumptions'!O11/907185))*'Forest Glen'!Q36)+(('Emissions Assumptions'!O10/907185)*'Forest Glen'!Q37)</f>
        <v>-7.1663381983438107E-2</v>
      </c>
      <c r="R124" s="71">
        <f>((('Emissions Assumptions'!P9/907185)+('Emissions Assumptions'!P11/907185))*'Forest Glen'!R36)+(('Emissions Assumptions'!P10/907185)*'Forest Glen'!R37)</f>
        <v>-7.1272018936838294E-2</v>
      </c>
      <c r="S124" s="71">
        <f>((('Emissions Assumptions'!Q9/907185)+('Emissions Assumptions'!Q11/907185))*'Forest Glen'!S36)+(('Emissions Assumptions'!Q10/907185)*'Forest Glen'!S37)</f>
        <v>-7.0872992329706633E-2</v>
      </c>
      <c r="T124" s="71">
        <f>((('Emissions Assumptions'!R9/907185)+('Emissions Assumptions'!R11/907185))*'Forest Glen'!T36)+(('Emissions Assumptions'!R10/907185)*'Forest Glen'!T37)</f>
        <v>-7.0466169763048814E-2</v>
      </c>
      <c r="U124" s="71">
        <f>((('Emissions Assumptions'!S9/907185)+('Emissions Assumptions'!S11/907185))*'Forest Glen'!U36)+(('Emissions Assumptions'!S10/907185)*'Forest Glen'!U37)</f>
        <v>-7.0051416913565423E-2</v>
      </c>
      <c r="V124" s="71">
        <f>((('Emissions Assumptions'!T9/907185)+('Emissions Assumptions'!T11/907185))*'Forest Glen'!V36)+(('Emissions Assumptions'!T10/907185)*'Forest Glen'!V37)</f>
        <v>-6.9628597508405499E-2</v>
      </c>
      <c r="W124" s="71">
        <f>((('Emissions Assumptions'!U9/907185)+('Emissions Assumptions'!U11/907185))*'Forest Glen'!W36)+(('Emissions Assumptions'!U10/907185)*'Forest Glen'!W37)</f>
        <v>-6.919757329960799E-2</v>
      </c>
      <c r="X124" s="71">
        <f>((('Emissions Assumptions'!V9/907185)+('Emissions Assumptions'!V11/907185))*'Forest Glen'!X36)+(('Emissions Assumptions'!V10/907185)*'Forest Glen'!X37)</f>
        <v>-6.8923660228834227E-2</v>
      </c>
      <c r="Y124" s="71">
        <f>((('Emissions Assumptions'!W9/907185)+('Emissions Assumptions'!W11/907185))*'Forest Glen'!Y36)+(('Emissions Assumptions'!W10/907185)*'Forest Glen'!Y37)</f>
        <v>-6.8473773949221495E-2</v>
      </c>
      <c r="Z124" s="71">
        <f>((('Emissions Assumptions'!X9/907185)+('Emissions Assumptions'!X11/907185))*'Forest Glen'!Z36)+(('Emissions Assumptions'!X10/907185)*'Forest Glen'!Z37)</f>
        <v>-6.8955077505620341E-2</v>
      </c>
      <c r="AA124" s="71">
        <f>((('Emissions Assumptions'!Y9/907185)+('Emissions Assumptions'!Y11/907185))*'Forest Glen'!AA36)+(('Emissions Assumptions'!Y10/907185)*'Forest Glen'!AA37)</f>
        <v>-6.9441030915227547E-2</v>
      </c>
      <c r="AB124" s="71">
        <f>((('Emissions Assumptions'!Z9/907185)+('Emissions Assumptions'!Z11/907185))*'Forest Glen'!AB36)+(('Emissions Assumptions'!Z10/907185)*'Forest Glen'!AB37)</f>
        <v>-6.993168067657525E-2</v>
      </c>
      <c r="AC124" s="388">
        <f>((('Emissions Assumptions'!AA9/907185)+('Emissions Assumptions'!AA11/907185))*'Forest Glen'!AC36)+(('Emissions Assumptions'!AA10/907185)*'Forest Glen'!AC37)</f>
        <v>-7.0427073753180858E-2</v>
      </c>
      <c r="AD124" s="357">
        <f t="shared" si="30"/>
        <v>-1.4371583442610247</v>
      </c>
    </row>
    <row r="125" spans="1:30" s="53" customFormat="1" ht="12">
      <c r="A125" s="45"/>
      <c r="B125" s="45"/>
      <c r="C125" s="48" t="s">
        <v>98</v>
      </c>
      <c r="D125" s="209"/>
      <c r="E125" s="219"/>
      <c r="F125" s="71">
        <f>(('Emissions Assumptions'!D4/907185)*F22)+(('Emissions Assumptions'!D5/907185)*F23)</f>
        <v>0</v>
      </c>
      <c r="G125" s="71">
        <f>(('Emissions Assumptions'!E4/907185)*G22)+(('Emissions Assumptions'!E5/907185)*G23)</f>
        <v>-4.6578395106229012E-3</v>
      </c>
      <c r="H125" s="71">
        <f>(('Emissions Assumptions'!F4/907185)*H22)+(('Emissions Assumptions'!F5/907185)*H23)</f>
        <v>-1.7602889498577655E-2</v>
      </c>
      <c r="I125" s="71">
        <f>(('Emissions Assumptions'!G4/907185)*I22)+(('Emissions Assumptions'!G5/907185)*I23)</f>
        <v>-1.6546416317535083E-2</v>
      </c>
      <c r="J125" s="71">
        <f>(('Emissions Assumptions'!H4/907185)*J22)+(('Emissions Assumptions'!H5/907185)*J23)</f>
        <v>-1.5461938499363894E-2</v>
      </c>
      <c r="K125" s="71">
        <f>(('Emissions Assumptions'!I4/907185)*K22)+(('Emissions Assumptions'!I5/907185)*K23)</f>
        <v>-1.4349456044064091E-2</v>
      </c>
      <c r="L125" s="71">
        <f>(('Emissions Assumptions'!J4/907185)*L22)+(('Emissions Assumptions'!J5/907185)*L23)</f>
        <v>-1.3208968951635659E-2</v>
      </c>
      <c r="M125" s="71">
        <f>(('Emissions Assumptions'!K4/907185)*M22)+(('Emissions Assumptions'!K5/907185)*M23)</f>
        <v>-1.2040477222078617E-2</v>
      </c>
      <c r="N125" s="71">
        <f>(('Emissions Assumptions'!L4/907185)*N22)+(('Emissions Assumptions'!L5/907185)*N23)</f>
        <v>-1.080060896882259E-2</v>
      </c>
      <c r="O125" s="71">
        <f>(('Emissions Assumptions'!M4/907185)*O22)+(('Emissions Assumptions'!M5/907185)*O23)</f>
        <v>-9.5433357955801764E-3</v>
      </c>
      <c r="P125" s="71">
        <f>(('Emissions Assumptions'!N4/907185)*P22)+(('Emissions Assumptions'!N5/907185)*P23)</f>
        <v>-9.430375840455963E-3</v>
      </c>
      <c r="Q125" s="71">
        <f>(('Emissions Assumptions'!O4/907185)*Q22)+(('Emissions Assumptions'!O5/907185)*Q23)</f>
        <v>-9.3151319021527595E-3</v>
      </c>
      <c r="R125" s="71">
        <f>(('Emissions Assumptions'!P4/907185)*R22)+(('Emissions Assumptions'!P5/907185)*R23)</f>
        <v>-9.1976039806705486E-3</v>
      </c>
      <c r="S125" s="71">
        <f>(('Emissions Assumptions'!Q4/907185)*S22)+(('Emissions Assumptions'!Q5/907185)*S23)</f>
        <v>-9.0777920760093476E-3</v>
      </c>
      <c r="T125" s="71">
        <f>(('Emissions Assumptions'!R4/907185)*T22)+(('Emissions Assumptions'!R5/907185)*T23)</f>
        <v>-8.9556961881691443E-3</v>
      </c>
      <c r="U125" s="71">
        <f>(('Emissions Assumptions'!S4/907185)*U22)+(('Emissions Assumptions'!S5/907185)*U23)</f>
        <v>-8.831316317149944E-3</v>
      </c>
      <c r="V125" s="71">
        <f>(('Emissions Assumptions'!T4/907185)*V22)+(('Emissions Assumptions'!T5/907185)*V23)</f>
        <v>-8.7046524629517449E-3</v>
      </c>
      <c r="W125" s="71">
        <f>(('Emissions Assumptions'!U4/907185)*W22)+(('Emissions Assumptions'!U5/907185)*W23)</f>
        <v>-8.5757046255745453E-3</v>
      </c>
      <c r="X125" s="71">
        <f>(('Emissions Assumptions'!V4/907185)*X22)+(('Emissions Assumptions'!V5/907185)*X23)</f>
        <v>-8.4479406230753302E-3</v>
      </c>
      <c r="Y125" s="71">
        <f>(('Emissions Assumptions'!W4/907185)*Y22)+(('Emissions Assumptions'!W5/907185)*Y23)</f>
        <v>-8.3177410123635893E-3</v>
      </c>
      <c r="Z125" s="71">
        <f>(('Emissions Assumptions'!X4/907185)*Z22)+(('Emissions Assumptions'!X5/907185)*Z23)</f>
        <v>-8.372228034450464E-3</v>
      </c>
      <c r="AA125" s="71">
        <f>(('Emissions Assumptions'!Y4/907185)*AA22)+(('Emissions Assumptions'!Y5/907185)*AA23)</f>
        <v>-8.4267150565373386E-3</v>
      </c>
      <c r="AB125" s="71">
        <f>(('Emissions Assumptions'!Z4/907185)*AB22)+(('Emissions Assumptions'!Z5/907185)*AB23)</f>
        <v>-8.4812020786242132E-3</v>
      </c>
      <c r="AC125" s="388">
        <f>(('Emissions Assumptions'!AA4/907185)*AC22)+(('Emissions Assumptions'!AA5/907185)*AC23)</f>
        <v>-8.5356891007110861E-3</v>
      </c>
      <c r="AD125" s="357">
        <f t="shared" si="30"/>
        <v>-0.23688172010717665</v>
      </c>
    </row>
    <row r="126" spans="1:30" s="53" customFormat="1" ht="12">
      <c r="A126" s="45"/>
      <c r="B126" s="45"/>
      <c r="C126" s="48" t="s">
        <v>99</v>
      </c>
      <c r="D126" s="209"/>
      <c r="E126" s="219"/>
      <c r="F126" s="71">
        <f>(('Emissions Assumptions'!D14/907185)*F22)+(('Emissions Assumptions'!D18/907185)*F23)+(('Emissions Assumptions'!D19/907185)*F22)</f>
        <v>0</v>
      </c>
      <c r="G126" s="71">
        <f>(('Emissions Assumptions'!E14/907185)*G22)+(('Emissions Assumptions'!E18/907185)*G23)+(('Emissions Assumptions'!E19/907185)*G22)</f>
        <v>-6.6585748886177675E-3</v>
      </c>
      <c r="H126" s="71">
        <f>(('Emissions Assumptions'!F14/907185)*H22)+(('Emissions Assumptions'!F18/907185)*H23)+(('Emissions Assumptions'!F19/907185)*H22)</f>
        <v>-2.5135802804446942E-2</v>
      </c>
      <c r="I126" s="71">
        <f>(('Emissions Assumptions'!G14/907185)*I22)+(('Emissions Assumptions'!G18/907185)*I23)+(('Emissions Assumptions'!G19/907185)*I22)</f>
        <v>-2.3596634619772891E-2</v>
      </c>
      <c r="J126" s="71">
        <f>(('Emissions Assumptions'!H14/907185)*J22)+(('Emissions Assumptions'!H18/907185)*J23)+(('Emissions Assumptions'!H19/907185)*J22)</f>
        <v>-2.2016795000448921E-2</v>
      </c>
      <c r="K126" s="71">
        <f>(('Emissions Assumptions'!I14/907185)*K22)+(('Emissions Assumptions'!I18/907185)*K23)+(('Emissions Assumptions'!I19/907185)*K22)</f>
        <v>-2.0396283946475035E-2</v>
      </c>
      <c r="L126" s="71">
        <f>(('Emissions Assumptions'!J14/907185)*L22)+(('Emissions Assumptions'!J18/907185)*L23)+(('Emissions Assumptions'!J19/907185)*L22)</f>
        <v>-1.8735101457851219E-2</v>
      </c>
      <c r="M126" s="71">
        <f>(('Emissions Assumptions'!K14/907185)*M22)+(('Emissions Assumptions'!K18/907185)*M23)+(('Emissions Assumptions'!K19/907185)*M22)</f>
        <v>-1.7033247534577484E-2</v>
      </c>
      <c r="N126" s="71">
        <f>(('Emissions Assumptions'!L14/907185)*N22)+(('Emissions Assumptions'!L18/907185)*N23)+(('Emissions Assumptions'!L19/907185)*N22)</f>
        <v>-1.5229564980171421E-2</v>
      </c>
      <c r="O126" s="71">
        <f>(('Emissions Assumptions'!M14/907185)*O22)+(('Emissions Assumptions'!M18/907185)*O23)+(('Emissions Assumptions'!M19/907185)*O22)</f>
        <v>-1.3400605073926718E-2</v>
      </c>
      <c r="P126" s="71">
        <f>(('Emissions Assumptions'!N14/907185)*P22)+(('Emissions Assumptions'!N18/907185)*P23)+(('Emissions Assumptions'!N19/907185)*P22)</f>
        <v>-1.3126956644669289E-2</v>
      </c>
      <c r="Q126" s="71">
        <f>(('Emissions Assumptions'!O14/907185)*Q22)+(('Emissions Assumptions'!O18/907185)*Q23)+(('Emissions Assumptions'!O19/907185)*Q22)</f>
        <v>-1.2848603826166493E-2</v>
      </c>
      <c r="R126" s="71">
        <f>(('Emissions Assumptions'!P14/907185)*R22)+(('Emissions Assumptions'!P18/907185)*R23)+(('Emissions Assumptions'!P19/907185)*R22)</f>
        <v>-1.2565546618418312E-2</v>
      </c>
      <c r="S126" s="71">
        <f>(('Emissions Assumptions'!Q14/907185)*S22)+(('Emissions Assumptions'!Q18/907185)*S23)+(('Emissions Assumptions'!Q19/907185)*S22)</f>
        <v>-1.2277785021424764E-2</v>
      </c>
      <c r="T126" s="71">
        <f>(('Emissions Assumptions'!R14/907185)*T22)+(('Emissions Assumptions'!R18/907185)*T23)+(('Emissions Assumptions'!R19/907185)*T22)</f>
        <v>-1.1985319035185843E-2</v>
      </c>
      <c r="U126" s="71">
        <f>(('Emissions Assumptions'!S14/907185)*U22)+(('Emissions Assumptions'!S18/907185)*U23)+(('Emissions Assumptions'!S19/907185)*U22)</f>
        <v>-1.1688148659701544E-2</v>
      </c>
      <c r="V126" s="71">
        <f>(('Emissions Assumptions'!T14/907185)*V22)+(('Emissions Assumptions'!T18/907185)*V23)+(('Emissions Assumptions'!T19/907185)*V22)</f>
        <v>-1.1386273894971873E-2</v>
      </c>
      <c r="W126" s="71">
        <f>(('Emissions Assumptions'!U14/907185)*W22)+(('Emissions Assumptions'!U18/907185)*W23)+(('Emissions Assumptions'!U19/907185)*W22)</f>
        <v>-1.1079694740996826E-2</v>
      </c>
      <c r="X126" s="71">
        <f>(('Emissions Assumptions'!V14/907185)*X22)+(('Emissions Assumptions'!V18/907185)*X23)+(('Emissions Assumptions'!V19/907185)*X22)</f>
        <v>-1.077283336736104E-2</v>
      </c>
      <c r="Y126" s="71">
        <f>(('Emissions Assumptions'!W14/907185)*Y22)+(('Emissions Assumptions'!W18/907185)*Y23)+(('Emissions Assumptions'!W19/907185)*Y22)</f>
        <v>-1.0460955297811598E-2</v>
      </c>
      <c r="Z126" s="71">
        <f>(('Emissions Assumptions'!X14/907185)*Z22)+(('Emissions Assumptions'!X18/907185)*Z23)+(('Emissions Assumptions'!X19/907185)*Z22)</f>
        <v>-1.0529481872697068E-2</v>
      </c>
      <c r="AA126" s="71">
        <f>(('Emissions Assumptions'!Y14/907185)*AA22)+(('Emissions Assumptions'!Y18/907185)*AA23)+(('Emissions Assumptions'!Y19/907185)*AA22)</f>
        <v>-1.0598008447582536E-2</v>
      </c>
      <c r="AB126" s="71">
        <f>(('Emissions Assumptions'!Z14/907185)*AB22)+(('Emissions Assumptions'!Z18/907185)*AB23)+(('Emissions Assumptions'!Z19/907185)*AB22)</f>
        <v>-1.0666535022468004E-2</v>
      </c>
      <c r="AC126" s="388">
        <f>(('Emissions Assumptions'!AA14/907185)*AC22)+(('Emissions Assumptions'!AA18/907185)*AC23)+(('Emissions Assumptions'!AA19/907185)*AC22)</f>
        <v>-1.0735061597353473E-2</v>
      </c>
      <c r="AD126" s="357">
        <f t="shared" si="30"/>
        <v>-0.32292381435309703</v>
      </c>
    </row>
    <row r="127" spans="1:30" s="53" customFormat="1" ht="12">
      <c r="A127" s="45"/>
      <c r="B127" s="45"/>
      <c r="C127" s="48" t="s">
        <v>100</v>
      </c>
      <c r="D127" s="209"/>
      <c r="E127" s="219"/>
      <c r="F127" s="71">
        <f>('Emissions Assumptions'!D21/907185)*F23</f>
        <v>0</v>
      </c>
      <c r="G127" s="71">
        <f>('Emissions Assumptions'!E21/907185)*G23</f>
        <v>-4.9421378492123154</v>
      </c>
      <c r="H127" s="71">
        <f>('Emissions Assumptions'!F21/907185)*H23</f>
        <v>-19.527642625459077</v>
      </c>
      <c r="I127" s="71">
        <f>('Emissions Assumptions'!G21/907185)*I23</f>
        <v>-19.276207559815781</v>
      </c>
      <c r="J127" s="71">
        <f>('Emissions Assumptions'!H21/907185)*J23</f>
        <v>-19.014246199919381</v>
      </c>
      <c r="K127" s="71">
        <f>('Emissions Assumptions'!I21/907185)*K23</f>
        <v>-18.74175854576988</v>
      </c>
      <c r="L127" s="71">
        <f>('Emissions Assumptions'!J21/907185)*L23</f>
        <v>-18.458744597367261</v>
      </c>
      <c r="M127" s="71">
        <f>('Emissions Assumptions'!K21/907185)*M23</f>
        <v>-18.165204354711541</v>
      </c>
      <c r="N127" s="71">
        <f>('Emissions Assumptions'!L21/907185)*N23</f>
        <v>-17.789699915635442</v>
      </c>
      <c r="O127" s="71">
        <f>('Emissions Assumptions'!M21/907185)*O23</f>
        <v>-17.407653370393604</v>
      </c>
      <c r="P127" s="71">
        <f>('Emissions Assumptions'!N21/907185)*P23</f>
        <v>-17.298307753456186</v>
      </c>
      <c r="Q127" s="71">
        <f>('Emissions Assumptions'!O21/907185)*Q23</f>
        <v>-17.186054660939952</v>
      </c>
      <c r="R127" s="71">
        <f>('Emissions Assumptions'!P21/907185)*R23</f>
        <v>-17.070894092844874</v>
      </c>
      <c r="S127" s="71">
        <f>('Emissions Assumptions'!Q21/907185)*S23</f>
        <v>-16.95282604917098</v>
      </c>
      <c r="T127" s="71">
        <f>('Emissions Assumptions'!R21/907185)*T23</f>
        <v>-16.831850529918249</v>
      </c>
      <c r="U127" s="71">
        <f>('Emissions Assumptions'!S21/907185)*U23</f>
        <v>-16.707967535086691</v>
      </c>
      <c r="V127" s="71">
        <f>('Emissions Assumptions'!T21/907185)*V23</f>
        <v>-16.581177064676304</v>
      </c>
      <c r="W127" s="71">
        <f>('Emissions Assumptions'!U21/907185)*W23</f>
        <v>-16.451479118687086</v>
      </c>
      <c r="X127" s="71">
        <f>('Emissions Assumptions'!V21/907185)*X23</f>
        <v>-16.325575226768446</v>
      </c>
      <c r="Y127" s="71">
        <f>('Emissions Assumptions'!W21/907185)*Y23</f>
        <v>-16.196570842927354</v>
      </c>
      <c r="Z127" s="71">
        <f>('Emissions Assumptions'!X21/907185)*Z23</f>
        <v>-16.302669711831598</v>
      </c>
      <c r="AA127" s="71">
        <f>('Emissions Assumptions'!Y21/907185)*AA23</f>
        <v>-16.408768580735842</v>
      </c>
      <c r="AB127" s="71">
        <f>('Emissions Assumptions'!Z21/907185)*AB23</f>
        <v>-16.514867449640082</v>
      </c>
      <c r="AC127" s="388">
        <f>('Emissions Assumptions'!AA21/907185)*AC23</f>
        <v>-16.620966318544326</v>
      </c>
      <c r="AD127" s="357">
        <f t="shared" si="30"/>
        <v>-386.77326995351223</v>
      </c>
    </row>
    <row r="128" spans="1:30" s="53" customFormat="1" ht="12">
      <c r="A128" s="45"/>
      <c r="B128" s="45"/>
      <c r="C128" s="224" t="s">
        <v>647</v>
      </c>
      <c r="D128" s="209"/>
      <c r="E128" s="219"/>
      <c r="F128" s="71">
        <f>('Emissions Assumptions'!D25/907185)*F23</f>
        <v>0</v>
      </c>
      <c r="G128" s="71">
        <f>('Emissions Assumptions'!E25/907185)*G23</f>
        <v>-9.6352451113429369E-5</v>
      </c>
      <c r="H128" s="71">
        <f>('Emissions Assumptions'!F25/907185)*H23</f>
        <v>-3.8980777949372238E-4</v>
      </c>
      <c r="I128" s="71">
        <f>('Emissions Assumptions'!G25/907185)*I23</f>
        <v>-3.9420575453372728E-4</v>
      </c>
      <c r="J128" s="71">
        <f>('Emissions Assumptions'!H25/907185)*J23</f>
        <v>-3.9860372957373214E-4</v>
      </c>
      <c r="K128" s="71">
        <f>('Emissions Assumptions'!I25/907185)*K23</f>
        <v>-4.0768777094645501E-4</v>
      </c>
      <c r="L128" s="71">
        <f>('Emissions Assumptions'!J25/907185)*L23</f>
        <v>-4.1213688523111097E-4</v>
      </c>
      <c r="M128" s="71">
        <f>('Emissions Assumptions'!K25/907185)*M23</f>
        <v>-4.1658599951576716E-4</v>
      </c>
      <c r="N128" s="71">
        <f>('Emissions Assumptions'!L25/907185)*N23</f>
        <v>-4.1935113008250563E-4</v>
      </c>
      <c r="O128" s="71">
        <f>('Emissions Assumptions'!M25/907185)*O23</f>
        <v>-4.2211626064924437E-4</v>
      </c>
      <c r="P128" s="71">
        <f>('Emissions Assumptions'!N25/907185)*P23</f>
        <v>-4.2488139121598279E-4</v>
      </c>
      <c r="Q128" s="71">
        <f>('Emissions Assumptions'!O25/907185)*Q23</f>
        <v>-4.2764652178272153E-4</v>
      </c>
      <c r="R128" s="71">
        <f>('Emissions Assumptions'!P25/907185)*R23</f>
        <v>-4.3041165234945989E-4</v>
      </c>
      <c r="S128" s="71">
        <f>('Emissions Assumptions'!Q25/907185)*S23</f>
        <v>-4.3317678291619852E-4</v>
      </c>
      <c r="T128" s="71">
        <f>('Emissions Assumptions'!R25/907185)*T23</f>
        <v>-4.359419134829371E-4</v>
      </c>
      <c r="U128" s="71">
        <f>('Emissions Assumptions'!S25/907185)*U23</f>
        <v>-4.3870704404967568E-4</v>
      </c>
      <c r="V128" s="71">
        <f>('Emissions Assumptions'!T25/907185)*V23</f>
        <v>-4.4147217461641425E-4</v>
      </c>
      <c r="W128" s="71">
        <f>('Emissions Assumptions'!U25/907185)*W23</f>
        <v>-4.4423730518315272E-4</v>
      </c>
      <c r="X128" s="71">
        <f>('Emissions Assumptions'!V25/907185)*X23</f>
        <v>-4.4718600234475153E-4</v>
      </c>
      <c r="Y128" s="71">
        <f>('Emissions Assumptions'!W25/907185)*Y23</f>
        <v>-4.5530866156964198E-4</v>
      </c>
      <c r="Z128" s="71">
        <f>('Emissions Assumptions'!X25/907185)*Z23</f>
        <v>-4.5829125180206384E-4</v>
      </c>
      <c r="AA128" s="71">
        <f>('Emissions Assumptions'!Y25/907185)*AA23</f>
        <v>-4.6127384203448576E-4</v>
      </c>
      <c r="AB128" s="71">
        <f>('Emissions Assumptions'!Z25/907185)*AB23</f>
        <v>-4.6425643226690757E-4</v>
      </c>
      <c r="AC128" s="388">
        <f>('Emissions Assumptions'!AA25/907185)*AC23</f>
        <v>-4.6723902249932938E-4</v>
      </c>
      <c r="AD128" s="357"/>
    </row>
    <row r="129" spans="1:30" s="53" customFormat="1" ht="12">
      <c r="A129" s="45"/>
      <c r="B129" s="45"/>
      <c r="C129" s="70" t="s">
        <v>115</v>
      </c>
      <c r="D129" s="209"/>
      <c r="E129" s="217"/>
      <c r="F129" s="45"/>
      <c r="G129" s="45"/>
      <c r="H129" s="45"/>
      <c r="I129" s="45"/>
      <c r="J129" s="45"/>
      <c r="K129" s="45"/>
      <c r="L129" s="45"/>
      <c r="M129" s="45"/>
      <c r="N129" s="45"/>
      <c r="O129" s="45"/>
      <c r="P129" s="45"/>
      <c r="Q129" s="45"/>
      <c r="R129" s="45"/>
      <c r="S129" s="45"/>
      <c r="T129" s="45"/>
      <c r="U129" s="45"/>
      <c r="V129" s="45"/>
      <c r="W129" s="45"/>
      <c r="X129" s="45"/>
      <c r="Y129" s="45"/>
      <c r="Z129" s="45"/>
      <c r="AA129" s="45"/>
      <c r="AB129" s="45"/>
      <c r="AC129" s="263"/>
      <c r="AD129" s="338"/>
    </row>
    <row r="130" spans="1:30" s="53" customFormat="1" ht="12">
      <c r="A130" s="45"/>
      <c r="B130" s="45"/>
      <c r="C130" s="48" t="s">
        <v>43</v>
      </c>
      <c r="D130" s="209"/>
      <c r="E130" s="220"/>
      <c r="F130" s="56">
        <f>-(F124*'Emissions Assumptions'!D12)</f>
        <v>0</v>
      </c>
      <c r="G130" s="56">
        <f>-(G124*'Emissions Assumptions'!E12)</f>
        <v>0</v>
      </c>
      <c r="H130" s="56">
        <f>-(H124*'Emissions Assumptions'!F12)</f>
        <v>0</v>
      </c>
      <c r="I130" s="56">
        <f>-(I124*'Emissions Assumptions'!G12)</f>
        <v>0</v>
      </c>
      <c r="J130" s="56">
        <f>-(J124*'Emissions Assumptions'!H12)</f>
        <v>92.278169007877452</v>
      </c>
      <c r="K130" s="56">
        <f>-(K124*'Emissions Assumptions'!I12)</f>
        <v>119.05396742269517</v>
      </c>
      <c r="L130" s="56">
        <f>-(L124*'Emissions Assumptions'!J12)</f>
        <v>113.67744876197068</v>
      </c>
      <c r="M130" s="56">
        <f>-(M124*'Emissions Assumptions'!K12)</f>
        <v>72.237848135292808</v>
      </c>
      <c r="N130" s="56">
        <f>-(N124*'Emissions Assumptions'!L12)</f>
        <v>101.15052778491571</v>
      </c>
      <c r="O130" s="56">
        <f>-(O124*'Emissions Assumptions'!M12)</f>
        <v>94.150728774456155</v>
      </c>
      <c r="P130" s="56">
        <f>-(P124*'Emissions Assumptions'!N12)</f>
        <v>93.661375559872297</v>
      </c>
      <c r="Q130" s="56">
        <f>-(Q124*'Emissions Assumptions'!O12)</f>
        <v>93.16239657846954</v>
      </c>
      <c r="R130" s="56">
        <f>-(R124*'Emissions Assumptions'!P12)</f>
        <v>92.653624617889776</v>
      </c>
      <c r="S130" s="56">
        <f>-(S124*'Emissions Assumptions'!Q12)</f>
        <v>92.134890028618628</v>
      </c>
      <c r="T130" s="56">
        <f>-(T124*'Emissions Assumptions'!R12)</f>
        <v>91.606020691963451</v>
      </c>
      <c r="U130" s="56">
        <f>-(U124*'Emissions Assumptions'!S12)</f>
        <v>91.066841987635044</v>
      </c>
      <c r="V130" s="56">
        <f>-(V124*'Emissions Assumptions'!T12)</f>
        <v>90.517176760927143</v>
      </c>
      <c r="W130" s="56">
        <f>-(W124*'Emissions Assumptions'!U12)</f>
        <v>89.956845289490388</v>
      </c>
      <c r="X130" s="56">
        <f>-(X124*'Emissions Assumptions'!V12)</f>
        <v>89.600758297484489</v>
      </c>
      <c r="Y130" s="56">
        <f>-(Y124*'Emissions Assumptions'!W12)</f>
        <v>89.01590613398794</v>
      </c>
      <c r="Z130" s="56">
        <f>-(Z124*'Emissions Assumptions'!X12)</f>
        <v>89.641600757306449</v>
      </c>
      <c r="AA130" s="56">
        <f>-(AA124*'Emissions Assumptions'!Y12)</f>
        <v>90.273340189795817</v>
      </c>
      <c r="AB130" s="56">
        <f>-(AB124*'Emissions Assumptions'!Z12)</f>
        <v>90.911184879547832</v>
      </c>
      <c r="AC130" s="389">
        <f>-(AC124*'Emissions Assumptions'!AA12)</f>
        <v>91.555195879135113</v>
      </c>
      <c r="AD130" s="358">
        <f t="shared" si="30"/>
        <v>1868.3058475393323</v>
      </c>
    </row>
    <row r="131" spans="1:30" ht="13.5">
      <c r="A131" s="45"/>
      <c r="B131" s="45"/>
      <c r="C131" s="48" t="s">
        <v>119</v>
      </c>
      <c r="D131" s="209"/>
      <c r="E131" s="220"/>
      <c r="F131" s="56">
        <f>-(F125*'Emissions Assumptions'!D6)</f>
        <v>0</v>
      </c>
      <c r="G131" s="56">
        <f>-(G125*'Emissions Assumptions'!E6)</f>
        <v>24.686549406301378</v>
      </c>
      <c r="H131" s="56">
        <f>-(H125*'Emissions Assumptions'!F6)</f>
        <v>93.295314342461566</v>
      </c>
      <c r="I131" s="56">
        <f>-(I125*'Emissions Assumptions'!G6)</f>
        <v>87.696006482935942</v>
      </c>
      <c r="J131" s="56">
        <f>-(J125*'Emissions Assumptions'!H6)</f>
        <v>81.94827404662864</v>
      </c>
      <c r="K131" s="56">
        <f>-(K125*'Emissions Assumptions'!I6)</f>
        <v>76.052117033539687</v>
      </c>
      <c r="L131" s="56">
        <f>-(L125*'Emissions Assumptions'!J6)</f>
        <v>70.007535443668999</v>
      </c>
      <c r="M131" s="56">
        <f>-(M125*'Emissions Assumptions'!K6)</f>
        <v>63.814529277016668</v>
      </c>
      <c r="N131" s="56">
        <f>-(N125*'Emissions Assumptions'!L6)</f>
        <v>57.243227534759725</v>
      </c>
      <c r="O131" s="56">
        <f>-(O125*'Emissions Assumptions'!M6)</f>
        <v>50.579679716574937</v>
      </c>
      <c r="P131" s="56">
        <f>-(P125*'Emissions Assumptions'!N6)</f>
        <v>49.980991954416602</v>
      </c>
      <c r="Q131" s="56">
        <f>-(Q125*'Emissions Assumptions'!O6)</f>
        <v>49.370199081409623</v>
      </c>
      <c r="R131" s="56">
        <f>-(R125*'Emissions Assumptions'!P6)</f>
        <v>48.747301097553908</v>
      </c>
      <c r="S131" s="56">
        <f>-(S125*'Emissions Assumptions'!Q6)</f>
        <v>48.112298002849542</v>
      </c>
      <c r="T131" s="56">
        <f>-(T125*'Emissions Assumptions'!R6)</f>
        <v>47.465189797296468</v>
      </c>
      <c r="U131" s="56">
        <f>-(U125*'Emissions Assumptions'!S6)</f>
        <v>46.805976480894707</v>
      </c>
      <c r="V131" s="56">
        <f>-(V125*'Emissions Assumptions'!T6)</f>
        <v>46.134658053644245</v>
      </c>
      <c r="W131" s="56">
        <f>-(W125*'Emissions Assumptions'!U6)</f>
        <v>45.451234515545089</v>
      </c>
      <c r="X131" s="56">
        <f>-(X125*'Emissions Assumptions'!V6)</f>
        <v>44.774085302299248</v>
      </c>
      <c r="Y131" s="56">
        <f>-(Y125*'Emissions Assumptions'!W6)</f>
        <v>44.084027365527021</v>
      </c>
      <c r="Z131" s="56">
        <f>-(Z125*'Emissions Assumptions'!X6)</f>
        <v>44.37280858258746</v>
      </c>
      <c r="AA131" s="56">
        <f>-(AA125*'Emissions Assumptions'!Y6)</f>
        <v>44.661589799647892</v>
      </c>
      <c r="AB131" s="56">
        <f>-(AB125*'Emissions Assumptions'!Z6)</f>
        <v>44.950371016708331</v>
      </c>
      <c r="AC131" s="389">
        <f>-(AC125*'Emissions Assumptions'!AA6)</f>
        <v>45.239152233768756</v>
      </c>
      <c r="AD131" s="358">
        <f t="shared" si="30"/>
        <v>1255.4731165680359</v>
      </c>
    </row>
    <row r="132" spans="1:30" ht="13.5">
      <c r="A132" s="45"/>
      <c r="B132" s="45"/>
      <c r="C132" s="48" t="s">
        <v>117</v>
      </c>
      <c r="D132" s="209"/>
      <c r="E132" s="220"/>
      <c r="F132" s="56">
        <f>-(F126*'Emissions Assumptions'!D15)</f>
        <v>0</v>
      </c>
      <c r="G132" s="56">
        <f>-(G126*'Emissions Assumptions'!E15)</f>
        <v>1930.9867176991527</v>
      </c>
      <c r="H132" s="56">
        <f>-(H126*'Emissions Assumptions'!F15)</f>
        <v>7289.3828132896133</v>
      </c>
      <c r="I132" s="56">
        <f>-(I126*'Emissions Assumptions'!G15)</f>
        <v>6843.0240397341386</v>
      </c>
      <c r="J132" s="56">
        <f>-(J126*'Emissions Assumptions'!H15)</f>
        <v>6384.8705501301874</v>
      </c>
      <c r="K132" s="56">
        <f>-(K126*'Emissions Assumptions'!I15)</f>
        <v>5914.9223444777599</v>
      </c>
      <c r="L132" s="56">
        <f>-(L126*'Emissions Assumptions'!J15)</f>
        <v>5433.1794227768532</v>
      </c>
      <c r="M132" s="56">
        <f>-(M126*'Emissions Assumptions'!K15)</f>
        <v>4939.6417850274702</v>
      </c>
      <c r="N132" s="56">
        <f>-(N126*'Emissions Assumptions'!L15)</f>
        <v>4416.5738442497122</v>
      </c>
      <c r="O132" s="56">
        <f>-(O126*'Emissions Assumptions'!M15)</f>
        <v>3886.1754714387484</v>
      </c>
      <c r="P132" s="56">
        <f>-(P126*'Emissions Assumptions'!N15)</f>
        <v>3806.8174269540937</v>
      </c>
      <c r="Q132" s="56">
        <f>-(Q126*'Emissions Assumptions'!O15)</f>
        <v>3726.0951095882829</v>
      </c>
      <c r="R132" s="56">
        <f>-(R126*'Emissions Assumptions'!P15)</f>
        <v>3644.0085193413106</v>
      </c>
      <c r="S132" s="56">
        <f>-(S126*'Emissions Assumptions'!Q15)</f>
        <v>3560.5576562131814</v>
      </c>
      <c r="T132" s="56">
        <f>-(T126*'Emissions Assumptions'!R15)</f>
        <v>3475.7425202038944</v>
      </c>
      <c r="U132" s="56">
        <f>-(U126*'Emissions Assumptions'!S15)</f>
        <v>3389.5631113134477</v>
      </c>
      <c r="V132" s="56">
        <f>-(V126*'Emissions Assumptions'!T15)</f>
        <v>3302.0194295418432</v>
      </c>
      <c r="W132" s="56">
        <f>-(W126*'Emissions Assumptions'!U15)</f>
        <v>3213.1114748890795</v>
      </c>
      <c r="X132" s="56">
        <f>-(X126*'Emissions Assumptions'!V15)</f>
        <v>3124.1216765347017</v>
      </c>
      <c r="Y132" s="56">
        <f>-(Y126*'Emissions Assumptions'!W15)</f>
        <v>3033.6770363653632</v>
      </c>
      <c r="Z132" s="56">
        <f>-(Z126*'Emissions Assumptions'!X15)</f>
        <v>3053.5497430821497</v>
      </c>
      <c r="AA132" s="56">
        <f>-(AA126*'Emissions Assumptions'!Y15)</f>
        <v>3073.4224497989353</v>
      </c>
      <c r="AB132" s="56">
        <f>-(AB126*'Emissions Assumptions'!Z15)</f>
        <v>3093.2951565157214</v>
      </c>
      <c r="AC132" s="389">
        <f>-(AC126*'Emissions Assumptions'!AA15)</f>
        <v>3113.167863232507</v>
      </c>
      <c r="AD132" s="358">
        <f t="shared" si="30"/>
        <v>93647.906162398169</v>
      </c>
    </row>
    <row r="133" spans="1:30" s="53" customFormat="1" ht="13.5">
      <c r="A133" s="45"/>
      <c r="B133" s="45"/>
      <c r="C133" s="48" t="s">
        <v>118</v>
      </c>
      <c r="D133" s="209"/>
      <c r="E133" s="220"/>
      <c r="F133" s="56">
        <f>-(F127*'Emissions Assumptions'!D22)</f>
        <v>0</v>
      </c>
      <c r="G133" s="56">
        <f>-(G127*'Emissions Assumptions'!E22)</f>
        <v>110.70388782235585</v>
      </c>
      <c r="H133" s="56">
        <f>-(H127*'Emissions Assumptions'!F22)</f>
        <v>445.23025186046698</v>
      </c>
      <c r="I133" s="56">
        <f>-(I127*'Emissions Assumptions'!G22)</f>
        <v>449.1356361437077</v>
      </c>
      <c r="J133" s="56">
        <f>-(J127*'Emissions Assumptions'!H22)</f>
        <v>452.53905955808125</v>
      </c>
      <c r="K133" s="56">
        <f>-(K127*'Emissions Assumptions'!I22)</f>
        <v>455.4247326622081</v>
      </c>
      <c r="L133" s="56">
        <f>-(L127*'Emissions Assumptions'!J22)</f>
        <v>457.77686601470811</v>
      </c>
      <c r="M133" s="56">
        <f>-(M127*'Emissions Assumptions'!K22)</f>
        <v>459.57967017420202</v>
      </c>
      <c r="N133" s="56">
        <f>-(N127*'Emissions Assumptions'!L22)</f>
        <v>458.9742578233944</v>
      </c>
      <c r="O133" s="56">
        <f>-(O127*'Emissions Assumptions'!M22)</f>
        <v>457.82128364135178</v>
      </c>
      <c r="P133" s="56">
        <f>-(P127*'Emissions Assumptions'!N22)</f>
        <v>467.05430934331702</v>
      </c>
      <c r="Q133" s="56">
        <f>-(Q127*'Emissions Assumptions'!O22)</f>
        <v>474.33510864194272</v>
      </c>
      <c r="R133" s="56">
        <f>-(R127*'Emissions Assumptions'!P22)</f>
        <v>483.10630282750992</v>
      </c>
      <c r="S133" s="56">
        <f>-(S127*'Emissions Assumptions'!Q22)</f>
        <v>489.93667282104133</v>
      </c>
      <c r="T133" s="56">
        <f>-(T127*'Emissions Assumptions'!R22)</f>
        <v>498.22277568558019</v>
      </c>
      <c r="U133" s="56">
        <f>-(U127*'Emissions Assumptions'!S22)</f>
        <v>504.58061955961807</v>
      </c>
      <c r="V133" s="56">
        <f>-(V127*'Emissions Assumptions'!T22)</f>
        <v>512.35837129849779</v>
      </c>
      <c r="W133" s="56">
        <f>-(W127*'Emissions Assumptions'!U22)</f>
        <v>518.22159223864321</v>
      </c>
      <c r="X133" s="56">
        <f>-(X127*'Emissions Assumptions'!V22)</f>
        <v>524.05096477926713</v>
      </c>
      <c r="Y133" s="56">
        <f>-(Y127*'Emissions Assumptions'!W22)</f>
        <v>531.24752364801714</v>
      </c>
      <c r="Z133" s="56">
        <f>-(Z127*'Emissions Assumptions'!X22)</f>
        <v>544.50916837517536</v>
      </c>
      <c r="AA133" s="56">
        <f>-(AA127*'Emissions Assumptions'!Y22)</f>
        <v>559.53900860309227</v>
      </c>
      <c r="AB133" s="56">
        <f>-(AB127*'Emissions Assumptions'!Z22)</f>
        <v>573.06590050251089</v>
      </c>
      <c r="AC133" s="389">
        <f>-(AC127*'Emissions Assumptions'!AA22)</f>
        <v>588.38220767646908</v>
      </c>
      <c r="AD133" s="358">
        <f t="shared" si="30"/>
        <v>11015.79617170116</v>
      </c>
    </row>
    <row r="134" spans="1:30" s="53" customFormat="1" ht="12">
      <c r="A134" s="45"/>
      <c r="B134" s="45"/>
      <c r="C134" s="224" t="s">
        <v>645</v>
      </c>
      <c r="D134" s="209"/>
      <c r="E134" s="220"/>
      <c r="F134" s="56">
        <f>-(F128*'Emissions Assumptions'!D26)</f>
        <v>0</v>
      </c>
      <c r="G134" s="56">
        <f>-(G128*'Emissions Assumptions'!E26)</f>
        <v>2.9869259845163105</v>
      </c>
      <c r="H134" s="56">
        <f>-(H128*'Emissions Assumptions'!F26)</f>
        <v>12.084041164305393</v>
      </c>
      <c r="I134" s="56">
        <f>-(I128*'Emissions Assumptions'!G26)</f>
        <v>12.220378390545546</v>
      </c>
      <c r="J134" s="56">
        <f>-(J128*'Emissions Assumptions'!H26)</f>
        <v>12.356715616785696</v>
      </c>
      <c r="K134" s="56">
        <f>-(K128*'Emissions Assumptions'!I26)</f>
        <v>12.638320899340105</v>
      </c>
      <c r="L134" s="56">
        <f>-(L128*'Emissions Assumptions'!J26)</f>
        <v>12.776243442164441</v>
      </c>
      <c r="M134" s="56">
        <f>-(M128*'Emissions Assumptions'!K26)</f>
        <v>12.914165984988783</v>
      </c>
      <c r="N134" s="56">
        <f>-(N128*'Emissions Assumptions'!L26)</f>
        <v>12.999885032557675</v>
      </c>
      <c r="O134" s="56">
        <f>-(O128*'Emissions Assumptions'!M26)</f>
        <v>13.085604080126576</v>
      </c>
      <c r="P134" s="56">
        <f>-(P128*'Emissions Assumptions'!N26)</f>
        <v>13.171323127695466</v>
      </c>
      <c r="Q134" s="56">
        <f>-(Q128*'Emissions Assumptions'!O26)</f>
        <v>13.257042175264367</v>
      </c>
      <c r="R134" s="56">
        <f>-(R128*'Emissions Assumptions'!P26)</f>
        <v>13.342761222833257</v>
      </c>
      <c r="S134" s="56">
        <f>-(S128*'Emissions Assumptions'!Q26)</f>
        <v>13.428480270402154</v>
      </c>
      <c r="T134" s="56">
        <f>-(T128*'Emissions Assumptions'!R26)</f>
        <v>13.51419931797105</v>
      </c>
      <c r="U134" s="56">
        <f>-(U128*'Emissions Assumptions'!S26)</f>
        <v>13.599918365539946</v>
      </c>
      <c r="V134" s="56">
        <f>-(V128*'Emissions Assumptions'!T26)</f>
        <v>13.685637413108841</v>
      </c>
      <c r="W134" s="56">
        <f>-(W128*'Emissions Assumptions'!U26)</f>
        <v>13.771356460677735</v>
      </c>
      <c r="X134" s="56">
        <f>-(X128*'Emissions Assumptions'!V26)</f>
        <v>13.862766072687297</v>
      </c>
      <c r="Y134" s="56">
        <f>-(Y128*'Emissions Assumptions'!W26)</f>
        <v>14.114568508658902</v>
      </c>
      <c r="Z134" s="56">
        <f>-(Z128*'Emissions Assumptions'!X26)</f>
        <v>14.207028805863979</v>
      </c>
      <c r="AA134" s="56">
        <f>-(AA128*'Emissions Assumptions'!Y26)</f>
        <v>14.299489103069059</v>
      </c>
      <c r="AB134" s="56">
        <f>-(AB128*'Emissions Assumptions'!Z26)</f>
        <v>14.391949400274134</v>
      </c>
      <c r="AC134" s="389">
        <f>-(AC128*'Emissions Assumptions'!AA26)</f>
        <v>14.48440969747921</v>
      </c>
      <c r="AD134" s="358"/>
    </row>
    <row r="135" spans="1:30" s="5" customFormat="1" ht="12">
      <c r="A135" s="58"/>
      <c r="B135" s="58"/>
      <c r="C135" s="62" t="s">
        <v>591</v>
      </c>
      <c r="D135" s="212"/>
      <c r="E135" s="220"/>
      <c r="F135" s="83">
        <f>SUM(F130:F134)</f>
        <v>0</v>
      </c>
      <c r="G135" s="83">
        <f t="shared" ref="G135:AC135" si="35">SUM(G130:G134)</f>
        <v>2069.3640809123262</v>
      </c>
      <c r="H135" s="83">
        <f t="shared" si="35"/>
        <v>7839.9924206568485</v>
      </c>
      <c r="I135" s="83">
        <f t="shared" si="35"/>
        <v>7392.0760607513275</v>
      </c>
      <c r="J135" s="83">
        <f t="shared" si="35"/>
        <v>7023.9927683595606</v>
      </c>
      <c r="K135" s="83">
        <f t="shared" si="35"/>
        <v>6578.0914824955426</v>
      </c>
      <c r="L135" s="83">
        <f t="shared" si="35"/>
        <v>6087.4175164393664</v>
      </c>
      <c r="M135" s="83">
        <f t="shared" si="35"/>
        <v>5548.1879985989699</v>
      </c>
      <c r="N135" s="83">
        <f t="shared" si="35"/>
        <v>5046.9417424253397</v>
      </c>
      <c r="O135" s="83">
        <f t="shared" si="35"/>
        <v>4501.8127676512577</v>
      </c>
      <c r="P135" s="83">
        <f t="shared" si="35"/>
        <v>4430.6854269393943</v>
      </c>
      <c r="Q135" s="83">
        <f t="shared" si="35"/>
        <v>4356.2198560653687</v>
      </c>
      <c r="R135" s="83">
        <f t="shared" si="35"/>
        <v>4281.8585091070981</v>
      </c>
      <c r="S135" s="83">
        <f t="shared" si="35"/>
        <v>4204.1699973360937</v>
      </c>
      <c r="T135" s="83">
        <f t="shared" si="35"/>
        <v>4126.5507056967062</v>
      </c>
      <c r="U135" s="83">
        <f t="shared" si="35"/>
        <v>4045.6164677071351</v>
      </c>
      <c r="V135" s="83">
        <f t="shared" si="35"/>
        <v>3964.7152730680214</v>
      </c>
      <c r="W135" s="83">
        <f t="shared" si="35"/>
        <v>3880.512503393436</v>
      </c>
      <c r="X135" s="83">
        <f t="shared" si="35"/>
        <v>3796.4102509864401</v>
      </c>
      <c r="Y135" s="83">
        <f t="shared" si="35"/>
        <v>3712.1390620215543</v>
      </c>
      <c r="Z135" s="83">
        <f t="shared" si="35"/>
        <v>3746.2803496030829</v>
      </c>
      <c r="AA135" s="83">
        <f t="shared" si="35"/>
        <v>3782.1958774945401</v>
      </c>
      <c r="AB135" s="83">
        <f t="shared" si="35"/>
        <v>3816.6145623147622</v>
      </c>
      <c r="AC135" s="272">
        <f t="shared" si="35"/>
        <v>3852.8288287193591</v>
      </c>
      <c r="AD135" s="355">
        <f t="shared" si="30"/>
        <v>108084.67450874353</v>
      </c>
    </row>
    <row r="136" spans="1:30" s="53" customFormat="1" ht="12">
      <c r="A136" s="45"/>
      <c r="B136" s="45"/>
      <c r="D136" s="209"/>
      <c r="E136" s="217"/>
      <c r="F136" s="45"/>
      <c r="G136" s="57"/>
      <c r="AC136" s="263"/>
      <c r="AD136" s="338"/>
    </row>
    <row r="137" spans="1:30" s="53" customFormat="1" ht="12">
      <c r="A137" s="45"/>
      <c r="B137" s="45"/>
      <c r="C137" s="64" t="s">
        <v>91</v>
      </c>
      <c r="D137" s="209"/>
      <c r="E137" s="217"/>
      <c r="F137" s="45"/>
      <c r="G137" s="57"/>
      <c r="AC137" s="263"/>
      <c r="AD137" s="338"/>
    </row>
    <row r="138" spans="1:30" s="53" customFormat="1" ht="24">
      <c r="A138" s="45"/>
      <c r="B138" s="45"/>
      <c r="C138" s="203" t="s">
        <v>132</v>
      </c>
      <c r="D138" s="259">
        <f>'Price Assumptions'!$B$22</f>
        <v>0.2</v>
      </c>
      <c r="E138" s="217"/>
      <c r="G138" s="96"/>
      <c r="H138" s="96"/>
      <c r="I138" s="96"/>
      <c r="J138" s="96"/>
      <c r="K138" s="96"/>
      <c r="L138" s="96"/>
      <c r="M138" s="96"/>
      <c r="N138" s="96"/>
      <c r="O138" s="96"/>
      <c r="P138" s="96"/>
      <c r="Q138" s="96"/>
      <c r="R138" s="96"/>
      <c r="S138" s="96"/>
      <c r="T138" s="96"/>
      <c r="U138" s="96"/>
      <c r="V138" s="96"/>
      <c r="W138" s="96"/>
      <c r="X138" s="96"/>
      <c r="Y138" s="96"/>
      <c r="AC138" s="263"/>
      <c r="AD138" s="338"/>
    </row>
    <row r="139" spans="1:30" s="53" customFormat="1" ht="24">
      <c r="A139" s="45"/>
      <c r="B139" s="45"/>
      <c r="C139" s="283" t="s">
        <v>503</v>
      </c>
      <c r="D139" s="284">
        <f>'Price Assumptions'!$B$21</f>
        <v>5.4413625171743009E-2</v>
      </c>
      <c r="E139" s="217"/>
      <c r="G139" s="95"/>
      <c r="H139" s="95"/>
      <c r="I139" s="95"/>
      <c r="J139" s="95"/>
      <c r="K139" s="95"/>
      <c r="L139" s="95"/>
      <c r="M139" s="95"/>
      <c r="N139" s="95"/>
      <c r="O139" s="95"/>
      <c r="P139" s="95"/>
      <c r="Q139" s="95"/>
      <c r="R139" s="95"/>
      <c r="S139" s="95"/>
      <c r="T139" s="95"/>
      <c r="U139" s="95"/>
      <c r="V139" s="95"/>
      <c r="W139" s="95"/>
      <c r="X139" s="95"/>
      <c r="Y139" s="95"/>
      <c r="AC139" s="263"/>
      <c r="AD139" s="338"/>
    </row>
    <row r="140" spans="1:30" s="5" customFormat="1" ht="12">
      <c r="A140" s="58"/>
      <c r="B140" s="58"/>
      <c r="C140" s="87" t="s">
        <v>504</v>
      </c>
      <c r="D140" s="212"/>
      <c r="E140" s="220"/>
      <c r="F140" s="83">
        <f>$D$139*$D$138*(F16+F17)</f>
        <v>0</v>
      </c>
      <c r="G140" s="83">
        <f t="shared" ref="G140:AC140" si="36">$D$139*$D$138*(G16+G17)</f>
        <v>8.3255362611095745</v>
      </c>
      <c r="H140" s="83">
        <f t="shared" si="36"/>
        <v>33.682161330976875</v>
      </c>
      <c r="I140" s="83">
        <f t="shared" si="36"/>
        <v>34.062177617515459</v>
      </c>
      <c r="J140" s="83">
        <f t="shared" si="36"/>
        <v>34.442193904054044</v>
      </c>
      <c r="K140" s="83">
        <f t="shared" si="36"/>
        <v>34.822210190592628</v>
      </c>
      <c r="L140" s="83">
        <f t="shared" si="36"/>
        <v>35.202226477131198</v>
      </c>
      <c r="M140" s="83">
        <f t="shared" si="36"/>
        <v>35.582242763669782</v>
      </c>
      <c r="N140" s="83">
        <f t="shared" si="36"/>
        <v>35.818423401553204</v>
      </c>
      <c r="O140" s="83">
        <f t="shared" si="36"/>
        <v>36.054604039436619</v>
      </c>
      <c r="P140" s="83">
        <f t="shared" si="36"/>
        <v>36.29078467732004</v>
      </c>
      <c r="Q140" s="83">
        <f t="shared" si="36"/>
        <v>36.526965315203462</v>
      </c>
      <c r="R140" s="83">
        <f t="shared" si="36"/>
        <v>36.76314595308687</v>
      </c>
      <c r="S140" s="83">
        <f t="shared" si="36"/>
        <v>36.999326590970298</v>
      </c>
      <c r="T140" s="83">
        <f t="shared" si="36"/>
        <v>37.235507228853706</v>
      </c>
      <c r="U140" s="83">
        <f t="shared" si="36"/>
        <v>37.471687866737135</v>
      </c>
      <c r="V140" s="83">
        <f t="shared" si="36"/>
        <v>37.707868504620549</v>
      </c>
      <c r="W140" s="83">
        <f t="shared" si="36"/>
        <v>37.944049142503964</v>
      </c>
      <c r="X140" s="83">
        <f t="shared" si="36"/>
        <v>38.195908922627432</v>
      </c>
      <c r="Y140" s="83">
        <f t="shared" si="36"/>
        <v>38.447768702750906</v>
      </c>
      <c r="Z140" s="83">
        <f t="shared" si="36"/>
        <v>38.699628482874367</v>
      </c>
      <c r="AA140" s="83">
        <f t="shared" si="36"/>
        <v>38.951488262997835</v>
      </c>
      <c r="AB140" s="83">
        <f t="shared" si="36"/>
        <v>39.203348043121302</v>
      </c>
      <c r="AC140" s="272">
        <f t="shared" si="36"/>
        <v>39.455207823244763</v>
      </c>
      <c r="AD140" s="355">
        <f t="shared" si="30"/>
        <v>817.88446150295204</v>
      </c>
    </row>
    <row r="141" spans="1:30" s="110" customFormat="1" ht="12">
      <c r="A141" s="107"/>
      <c r="B141" s="107"/>
      <c r="C141" s="108"/>
      <c r="D141" s="208"/>
      <c r="E141" s="216"/>
      <c r="F141" s="109"/>
      <c r="G141" s="109"/>
      <c r="H141" s="109"/>
      <c r="I141" s="109"/>
      <c r="J141" s="109"/>
      <c r="K141" s="109"/>
      <c r="L141" s="109"/>
      <c r="M141" s="109"/>
      <c r="N141" s="109"/>
      <c r="O141" s="109"/>
      <c r="P141" s="109"/>
      <c r="Q141" s="109"/>
      <c r="R141" s="109"/>
      <c r="S141" s="109"/>
      <c r="T141" s="109"/>
      <c r="U141" s="109"/>
      <c r="V141" s="109"/>
      <c r="W141" s="109"/>
      <c r="X141" s="109"/>
      <c r="Y141" s="109"/>
      <c r="Z141" s="109"/>
      <c r="AC141" s="262"/>
      <c r="AD141" s="337"/>
    </row>
    <row r="142" spans="1:30" s="110" customFormat="1" ht="12">
      <c r="A142" s="58" t="s">
        <v>345</v>
      </c>
      <c r="B142" s="58"/>
      <c r="C142" s="108"/>
      <c r="D142" s="208"/>
      <c r="E142" s="216"/>
      <c r="F142" s="109"/>
      <c r="G142" s="109"/>
      <c r="H142" s="109"/>
      <c r="I142" s="109"/>
      <c r="J142" s="109"/>
      <c r="K142" s="109"/>
      <c r="L142" s="109"/>
      <c r="M142" s="109"/>
      <c r="N142" s="109"/>
      <c r="O142" s="109"/>
      <c r="P142" s="109"/>
      <c r="Q142" s="109"/>
      <c r="R142" s="109"/>
      <c r="S142" s="109"/>
      <c r="T142" s="109"/>
      <c r="U142" s="109"/>
      <c r="V142" s="109"/>
      <c r="W142" s="109"/>
      <c r="X142" s="109"/>
      <c r="Y142" s="109"/>
      <c r="Z142" s="109"/>
      <c r="AC142" s="262"/>
      <c r="AD142" s="337"/>
    </row>
    <row r="143" spans="1:30" s="110" customFormat="1" ht="12">
      <c r="A143" s="58"/>
      <c r="B143" s="58"/>
      <c r="C143" s="46" t="s">
        <v>39</v>
      </c>
      <c r="D143" s="210"/>
      <c r="E143" s="217"/>
      <c r="F143" s="45"/>
      <c r="G143" s="109"/>
      <c r="H143" s="109"/>
      <c r="I143" s="109"/>
      <c r="J143" s="109"/>
      <c r="K143" s="109"/>
      <c r="L143" s="109"/>
      <c r="M143" s="109"/>
      <c r="N143" s="109"/>
      <c r="O143" s="109"/>
      <c r="P143" s="109"/>
      <c r="Q143" s="109"/>
      <c r="R143" s="109"/>
      <c r="S143" s="109"/>
      <c r="T143" s="109"/>
      <c r="U143" s="109"/>
      <c r="V143" s="109"/>
      <c r="W143" s="109"/>
      <c r="X143" s="109"/>
      <c r="Y143" s="109"/>
      <c r="Z143" s="109"/>
      <c r="AC143" s="262"/>
      <c r="AD143" s="337"/>
    </row>
    <row r="144" spans="1:30" s="110" customFormat="1" ht="12">
      <c r="A144" s="58"/>
      <c r="B144" s="58" t="s">
        <v>225</v>
      </c>
      <c r="D144" s="210"/>
      <c r="E144" s="217"/>
      <c r="F144" s="45"/>
      <c r="G144" s="109"/>
      <c r="H144" s="109"/>
      <c r="I144" s="109"/>
      <c r="J144" s="109"/>
      <c r="K144" s="109"/>
      <c r="L144" s="109"/>
      <c r="M144" s="109"/>
      <c r="N144" s="109"/>
      <c r="O144" s="109"/>
      <c r="P144" s="109"/>
      <c r="Q144" s="109"/>
      <c r="R144" s="109"/>
      <c r="S144" s="109"/>
      <c r="T144" s="109"/>
      <c r="U144" s="109"/>
      <c r="V144" s="109"/>
      <c r="W144" s="109"/>
      <c r="X144" s="109"/>
      <c r="Y144" s="109"/>
      <c r="Z144" s="109"/>
      <c r="AC144" s="262"/>
      <c r="AD144" s="337"/>
    </row>
    <row r="145" spans="1:30" s="110" customFormat="1" ht="12">
      <c r="A145" s="58"/>
      <c r="B145" s="444" t="s">
        <v>587</v>
      </c>
      <c r="C145" s="78" t="s">
        <v>561</v>
      </c>
      <c r="D145" s="210"/>
      <c r="E145" s="217"/>
      <c r="F145" s="45"/>
      <c r="G145" s="109"/>
      <c r="H145" s="109"/>
      <c r="I145" s="55"/>
      <c r="J145" s="55"/>
      <c r="K145" s="55"/>
      <c r="L145" s="55"/>
      <c r="M145" s="55"/>
      <c r="N145" s="55"/>
      <c r="O145" s="55"/>
      <c r="P145" s="55"/>
      <c r="Q145" s="55"/>
      <c r="R145" s="55"/>
      <c r="S145" s="55"/>
      <c r="T145" s="55"/>
      <c r="U145" s="55"/>
      <c r="V145" s="55"/>
      <c r="W145" s="55"/>
      <c r="X145" s="55"/>
      <c r="Y145" s="55"/>
      <c r="Z145" s="55"/>
      <c r="AA145" s="55"/>
      <c r="AB145" s="55"/>
      <c r="AC145" s="270"/>
      <c r="AD145" s="353"/>
    </row>
    <row r="146" spans="1:30" s="110" customFormat="1" ht="12">
      <c r="A146" s="58"/>
      <c r="C146" s="78" t="s">
        <v>542</v>
      </c>
      <c r="D146" s="210">
        <f>'Mode Operating Assumptions'!D189</f>
        <v>8.2555465307736857E-8</v>
      </c>
      <c r="E146" s="217"/>
      <c r="F146" s="55">
        <f t="shared" ref="F146:AC146" si="37">$D$146*(F$11+F$12)</f>
        <v>0</v>
      </c>
      <c r="G146" s="55">
        <f t="shared" si="37"/>
        <v>1.3047818207511291E-4</v>
      </c>
      <c r="H146" s="55">
        <f t="shared" si="37"/>
        <v>5.2786836078722705E-4</v>
      </c>
      <c r="I146" s="55">
        <f t="shared" si="37"/>
        <v>5.3382399327400211E-4</v>
      </c>
      <c r="J146" s="55">
        <f t="shared" si="37"/>
        <v>5.3977962576077739E-4</v>
      </c>
      <c r="K146" s="55">
        <f t="shared" si="37"/>
        <v>5.4573525824755267E-4</v>
      </c>
      <c r="L146" s="55">
        <f t="shared" si="37"/>
        <v>5.5169089073432774E-4</v>
      </c>
      <c r="M146" s="55">
        <f t="shared" si="37"/>
        <v>5.5764652322110302E-4</v>
      </c>
      <c r="N146" s="55">
        <f t="shared" si="37"/>
        <v>5.6134795689526996E-4</v>
      </c>
      <c r="O146" s="55">
        <f t="shared" si="37"/>
        <v>5.6504939056943701E-4</v>
      </c>
      <c r="P146" s="55">
        <f t="shared" si="37"/>
        <v>5.6875082424360384E-4</v>
      </c>
      <c r="Q146" s="55">
        <f t="shared" si="37"/>
        <v>5.7245225791777089E-4</v>
      </c>
      <c r="R146" s="55">
        <f t="shared" si="37"/>
        <v>5.7615369159193773E-4</v>
      </c>
      <c r="S146" s="55">
        <f t="shared" si="37"/>
        <v>5.7985512526610467E-4</v>
      </c>
      <c r="T146" s="55">
        <f t="shared" si="37"/>
        <v>5.8355655894027183E-4</v>
      </c>
      <c r="U146" s="55">
        <f t="shared" si="37"/>
        <v>5.8725799261443866E-4</v>
      </c>
      <c r="V146" s="55">
        <f t="shared" si="37"/>
        <v>5.909594262886056E-4</v>
      </c>
      <c r="W146" s="55">
        <f t="shared" si="37"/>
        <v>5.9466085996277244E-4</v>
      </c>
      <c r="X146" s="55">
        <f t="shared" si="37"/>
        <v>5.9860801786560368E-4</v>
      </c>
      <c r="Y146" s="55">
        <f t="shared" si="37"/>
        <v>6.0255517576843524E-4</v>
      </c>
      <c r="Z146" s="55">
        <f t="shared" si="37"/>
        <v>6.0650233367126648E-4</v>
      </c>
      <c r="AA146" s="55">
        <f t="shared" si="37"/>
        <v>6.1044949157409794E-4</v>
      </c>
      <c r="AB146" s="55">
        <f t="shared" si="37"/>
        <v>6.1439664947692918E-4</v>
      </c>
      <c r="AC146" s="270">
        <f t="shared" si="37"/>
        <v>6.1834380737976042E-4</v>
      </c>
      <c r="AD146" s="353">
        <f t="shared" si="30"/>
        <v>1.2817922394126408E-2</v>
      </c>
    </row>
    <row r="147" spans="1:30" s="110" customFormat="1" ht="12">
      <c r="A147" s="58"/>
      <c r="C147" s="49" t="s">
        <v>40</v>
      </c>
      <c r="D147" s="308">
        <f>-'Mode Operating Assumptions'!C179</f>
        <v>-6200000</v>
      </c>
      <c r="E147" s="217"/>
      <c r="F147" s="255">
        <f>F146*$D$148</f>
        <v>0</v>
      </c>
      <c r="G147" s="255">
        <f t="shared" ref="G147:AC147" si="38">G146*$D$148</f>
        <v>3.2833944042582339E-10</v>
      </c>
      <c r="H147" s="255">
        <f t="shared" si="38"/>
        <v>1.3283447044012229E-9</v>
      </c>
      <c r="I147" s="255">
        <f t="shared" si="38"/>
        <v>1.3433316470991513E-9</v>
      </c>
      <c r="J147" s="255">
        <f t="shared" si="38"/>
        <v>1.35831858979708E-9</v>
      </c>
      <c r="K147" s="255">
        <f t="shared" si="38"/>
        <v>1.373305532495009E-9</v>
      </c>
      <c r="L147" s="255">
        <f t="shared" si="38"/>
        <v>1.3882924751929373E-9</v>
      </c>
      <c r="M147" s="255">
        <f t="shared" si="38"/>
        <v>1.4032794178908663E-9</v>
      </c>
      <c r="N147" s="255">
        <f t="shared" si="38"/>
        <v>1.4125938231195477E-9</v>
      </c>
      <c r="O147" s="255">
        <f t="shared" si="38"/>
        <v>1.4219082283482294E-9</v>
      </c>
      <c r="P147" s="255">
        <f t="shared" si="38"/>
        <v>1.4312226335769104E-9</v>
      </c>
      <c r="Q147" s="255">
        <f t="shared" si="38"/>
        <v>1.4405370388055921E-9</v>
      </c>
      <c r="R147" s="255">
        <f t="shared" si="38"/>
        <v>1.4498514440342731E-9</v>
      </c>
      <c r="S147" s="255">
        <f t="shared" si="38"/>
        <v>1.4591658492629545E-9</v>
      </c>
      <c r="T147" s="255">
        <f t="shared" si="38"/>
        <v>1.4684802544916364E-9</v>
      </c>
      <c r="U147" s="255">
        <f t="shared" si="38"/>
        <v>1.4777946597203176E-9</v>
      </c>
      <c r="V147" s="255">
        <f t="shared" si="38"/>
        <v>1.4871090649489991E-9</v>
      </c>
      <c r="W147" s="255">
        <f t="shared" si="38"/>
        <v>1.4964234701776801E-9</v>
      </c>
      <c r="X147" s="255">
        <f t="shared" si="38"/>
        <v>1.5063562236578128E-9</v>
      </c>
      <c r="Y147" s="255">
        <f t="shared" si="38"/>
        <v>1.5162889771379463E-9</v>
      </c>
      <c r="Z147" s="255">
        <f t="shared" si="38"/>
        <v>1.5262217306180793E-9</v>
      </c>
      <c r="AA147" s="255">
        <f t="shared" si="38"/>
        <v>1.5361544840982126E-9</v>
      </c>
      <c r="AB147" s="255">
        <f t="shared" si="38"/>
        <v>1.5460872375783453E-9</v>
      </c>
      <c r="AC147" s="268">
        <f t="shared" si="38"/>
        <v>1.556019991058478E-9</v>
      </c>
      <c r="AD147" s="360">
        <f t="shared" si="30"/>
        <v>3.2255426917937106E-8</v>
      </c>
    </row>
    <row r="148" spans="1:30" s="110" customFormat="1" ht="12">
      <c r="A148" s="58"/>
      <c r="C148" s="78" t="s">
        <v>543</v>
      </c>
      <c r="D148" s="210">
        <f>'Mode Operating Assumptions'!D190</f>
        <v>2.5164317528336415E-6</v>
      </c>
      <c r="E148" s="217"/>
      <c r="F148" s="55">
        <f t="shared" ref="F148:AC148" si="39">$D$148*(F$11+F$12)</f>
        <v>0</v>
      </c>
      <c r="G148" s="55">
        <f t="shared" si="39"/>
        <v>3.9771981079858611E-3</v>
      </c>
      <c r="H148" s="55">
        <f t="shared" si="39"/>
        <v>1.6090330294301354E-2</v>
      </c>
      <c r="I148" s="55">
        <f t="shared" si="39"/>
        <v>1.6271868156659257E-2</v>
      </c>
      <c r="J148" s="55">
        <f t="shared" si="39"/>
        <v>1.645340601901716E-2</v>
      </c>
      <c r="K148" s="55">
        <f t="shared" si="39"/>
        <v>1.6634943881375066E-2</v>
      </c>
      <c r="L148" s="55">
        <f t="shared" si="39"/>
        <v>1.6816481743732969E-2</v>
      </c>
      <c r="M148" s="55">
        <f t="shared" si="39"/>
        <v>1.6998019606090879E-2</v>
      </c>
      <c r="N148" s="55">
        <f t="shared" si="39"/>
        <v>1.7110845633949368E-2</v>
      </c>
      <c r="O148" s="55">
        <f t="shared" si="39"/>
        <v>1.7223671661807861E-2</v>
      </c>
      <c r="P148" s="55">
        <f t="shared" si="39"/>
        <v>1.7336497689666348E-2</v>
      </c>
      <c r="Q148" s="55">
        <f t="shared" si="39"/>
        <v>1.7449323717524844E-2</v>
      </c>
      <c r="R148" s="55">
        <f t="shared" si="39"/>
        <v>1.7562149745383327E-2</v>
      </c>
      <c r="S148" s="55">
        <f t="shared" si="39"/>
        <v>1.767497577324182E-2</v>
      </c>
      <c r="T148" s="55">
        <f t="shared" si="39"/>
        <v>1.7787801801100317E-2</v>
      </c>
      <c r="U148" s="55">
        <f t="shared" si="39"/>
        <v>1.7900627828958803E-2</v>
      </c>
      <c r="V148" s="55">
        <f t="shared" si="39"/>
        <v>1.8013453856817293E-2</v>
      </c>
      <c r="W148" s="55">
        <f t="shared" si="39"/>
        <v>1.8126279884675783E-2</v>
      </c>
      <c r="X148" s="55">
        <f t="shared" si="39"/>
        <v>1.8246596007213609E-2</v>
      </c>
      <c r="Y148" s="55">
        <f t="shared" si="39"/>
        <v>1.8366912129751441E-2</v>
      </c>
      <c r="Z148" s="55">
        <f t="shared" si="39"/>
        <v>1.8487228252289267E-2</v>
      </c>
      <c r="AA148" s="55">
        <f t="shared" si="39"/>
        <v>1.8607544374827097E-2</v>
      </c>
      <c r="AB148" s="55">
        <f t="shared" si="39"/>
        <v>1.8727860497364923E-2</v>
      </c>
      <c r="AC148" s="270">
        <f t="shared" si="39"/>
        <v>1.8848176619902748E-2</v>
      </c>
      <c r="AD148" s="353">
        <f t="shared" si="30"/>
        <v>0.39071219328363738</v>
      </c>
    </row>
    <row r="149" spans="1:30" s="110" customFormat="1" ht="12">
      <c r="A149" s="58"/>
      <c r="C149" s="49" t="s">
        <v>41</v>
      </c>
      <c r="D149" s="308">
        <f>-'Mode Operating Assumptions'!C175</f>
        <v>-291400</v>
      </c>
      <c r="E149" s="217"/>
      <c r="F149" s="255">
        <f>F148*$D$149</f>
        <v>0</v>
      </c>
      <c r="G149" s="255">
        <f t="shared" ref="G149:AC149" si="40">G148*$D$149</f>
        <v>-1158.95552866708</v>
      </c>
      <c r="H149" s="255">
        <f t="shared" si="40"/>
        <v>-4688.7222477594141</v>
      </c>
      <c r="I149" s="255">
        <f t="shared" si="40"/>
        <v>-4741.6223808505074</v>
      </c>
      <c r="J149" s="255">
        <f t="shared" si="40"/>
        <v>-4794.5225139416007</v>
      </c>
      <c r="K149" s="255">
        <f t="shared" si="40"/>
        <v>-4847.4226470326939</v>
      </c>
      <c r="L149" s="255">
        <f t="shared" si="40"/>
        <v>-4900.3227801237872</v>
      </c>
      <c r="M149" s="255">
        <f t="shared" si="40"/>
        <v>-4953.2229132148823</v>
      </c>
      <c r="N149" s="255">
        <f t="shared" si="40"/>
        <v>-4986.1004177328459</v>
      </c>
      <c r="O149" s="255">
        <f t="shared" si="40"/>
        <v>-5018.9779222508105</v>
      </c>
      <c r="P149" s="255">
        <f t="shared" si="40"/>
        <v>-5051.8554267687741</v>
      </c>
      <c r="Q149" s="255">
        <f t="shared" si="40"/>
        <v>-5084.7329312867396</v>
      </c>
      <c r="R149" s="255">
        <f t="shared" si="40"/>
        <v>-5117.6104358047014</v>
      </c>
      <c r="S149" s="255">
        <f t="shared" si="40"/>
        <v>-5150.4879403226669</v>
      </c>
      <c r="T149" s="255">
        <f t="shared" si="40"/>
        <v>-5183.3654448406323</v>
      </c>
      <c r="U149" s="255">
        <f t="shared" si="40"/>
        <v>-5216.2429493585951</v>
      </c>
      <c r="V149" s="255">
        <f t="shared" si="40"/>
        <v>-5249.1204538765587</v>
      </c>
      <c r="W149" s="255">
        <f t="shared" si="40"/>
        <v>-5281.9979583945233</v>
      </c>
      <c r="X149" s="255">
        <f t="shared" si="40"/>
        <v>-5317.0580765020459</v>
      </c>
      <c r="Y149" s="255">
        <f t="shared" si="40"/>
        <v>-5352.1181946095703</v>
      </c>
      <c r="Z149" s="255">
        <f t="shared" si="40"/>
        <v>-5387.1783127170929</v>
      </c>
      <c r="AA149" s="255">
        <f t="shared" si="40"/>
        <v>-5422.2384308246155</v>
      </c>
      <c r="AB149" s="255">
        <f t="shared" si="40"/>
        <v>-5457.2985489321381</v>
      </c>
      <c r="AC149" s="268">
        <f t="shared" si="40"/>
        <v>-5492.3586670396608</v>
      </c>
      <c r="AD149" s="360">
        <f t="shared" si="30"/>
        <v>-113853.53312285194</v>
      </c>
    </row>
    <row r="150" spans="1:30" s="110" customFormat="1" ht="12">
      <c r="A150" s="58"/>
      <c r="C150" s="49"/>
      <c r="D150" s="308"/>
      <c r="E150" s="217"/>
      <c r="F150" s="255"/>
      <c r="G150" s="255"/>
      <c r="H150" s="255"/>
      <c r="I150" s="255"/>
      <c r="J150" s="255"/>
      <c r="K150" s="255"/>
      <c r="L150" s="255"/>
      <c r="M150" s="255"/>
      <c r="N150" s="255"/>
      <c r="O150" s="255"/>
      <c r="P150" s="255"/>
      <c r="Q150" s="255"/>
      <c r="R150" s="255"/>
      <c r="S150" s="255"/>
      <c r="T150" s="255"/>
      <c r="U150" s="255"/>
      <c r="V150" s="255"/>
      <c r="W150" s="255"/>
      <c r="X150" s="255"/>
      <c r="Y150" s="255"/>
      <c r="Z150" s="255"/>
      <c r="AA150" s="255"/>
      <c r="AB150" s="255"/>
      <c r="AC150" s="268"/>
      <c r="AD150" s="360"/>
    </row>
    <row r="151" spans="1:30" s="110" customFormat="1" ht="12">
      <c r="A151" s="58"/>
      <c r="B151" s="445" t="s">
        <v>588</v>
      </c>
      <c r="C151" s="78" t="s">
        <v>586</v>
      </c>
      <c r="D151" s="443">
        <v>-0.15</v>
      </c>
      <c r="E151" s="217"/>
      <c r="F151" s="45"/>
      <c r="G151" s="45"/>
      <c r="H151" s="45"/>
      <c r="I151" s="45"/>
      <c r="J151" s="45"/>
      <c r="K151" s="45"/>
      <c r="L151" s="45"/>
      <c r="M151" s="45"/>
      <c r="N151" s="45"/>
      <c r="O151" s="45"/>
      <c r="P151" s="45"/>
      <c r="Q151" s="45"/>
      <c r="R151" s="45"/>
      <c r="S151" s="45"/>
      <c r="T151" s="45"/>
      <c r="U151" s="45"/>
      <c r="V151" s="45"/>
      <c r="W151" s="45"/>
      <c r="X151" s="45"/>
      <c r="Y151" s="45"/>
      <c r="Z151" s="45"/>
      <c r="AA151" s="45"/>
      <c r="AB151" s="45"/>
      <c r="AC151" s="263"/>
      <c r="AD151" s="337"/>
    </row>
    <row r="152" spans="1:30" s="110" customFormat="1" ht="12">
      <c r="A152" s="58"/>
      <c r="B152" s="58"/>
      <c r="C152" s="78" t="s">
        <v>542</v>
      </c>
      <c r="D152" s="210">
        <f>D146*D$151</f>
        <v>-1.2383319796160529E-8</v>
      </c>
      <c r="E152" s="217"/>
      <c r="F152" s="448">
        <f>$D152*(F$10+F$11+F$12)</f>
        <v>0</v>
      </c>
      <c r="G152" s="448">
        <f t="shared" ref="G152:AC152" si="41">$D152*(G$10+G$11+G$12)</f>
        <v>-6.7196263768683152E-4</v>
      </c>
      <c r="H152" s="446">
        <f>$D152*(H$10+H$11+H$12)</f>
        <v>-2.7185220580542191E-3</v>
      </c>
      <c r="I152" s="447">
        <f t="shared" si="41"/>
        <v>-2.7491935653611113E-3</v>
      </c>
      <c r="J152" s="447">
        <f t="shared" si="41"/>
        <v>-2.7798650726680034E-3</v>
      </c>
      <c r="K152" s="447">
        <f t="shared" si="41"/>
        <v>-2.810536579974896E-3</v>
      </c>
      <c r="L152" s="447">
        <f t="shared" si="41"/>
        <v>-2.8412080872817881E-3</v>
      </c>
      <c r="M152" s="447">
        <f t="shared" si="41"/>
        <v>-2.8718795945886803E-3</v>
      </c>
      <c r="N152" s="447">
        <f t="shared" si="41"/>
        <v>-2.8909419780106401E-3</v>
      </c>
      <c r="O152" s="447">
        <f t="shared" si="41"/>
        <v>-2.9100043614326008E-3</v>
      </c>
      <c r="P152" s="447">
        <f t="shared" si="41"/>
        <v>-2.9290667448545597E-3</v>
      </c>
      <c r="Q152" s="447">
        <f t="shared" si="41"/>
        <v>-2.9481291282765199E-3</v>
      </c>
      <c r="R152" s="447">
        <f t="shared" si="41"/>
        <v>-2.9671915116984788E-3</v>
      </c>
      <c r="S152" s="447">
        <f t="shared" si="41"/>
        <v>-2.9862538951204395E-3</v>
      </c>
      <c r="T152" s="447">
        <f t="shared" si="41"/>
        <v>-3.0053162785423993E-3</v>
      </c>
      <c r="U152" s="447">
        <f t="shared" si="41"/>
        <v>-3.0243786619643595E-3</v>
      </c>
      <c r="V152" s="447">
        <f t="shared" si="41"/>
        <v>-3.0434410453863189E-3</v>
      </c>
      <c r="W152" s="447">
        <f t="shared" si="41"/>
        <v>-3.0625034288082782E-3</v>
      </c>
      <c r="X152" s="447">
        <f t="shared" si="41"/>
        <v>-3.0828312920078592E-3</v>
      </c>
      <c r="Y152" s="447">
        <f t="shared" si="41"/>
        <v>-3.1031591552074414E-3</v>
      </c>
      <c r="Z152" s="447">
        <f t="shared" si="41"/>
        <v>-3.1234870184070227E-3</v>
      </c>
      <c r="AA152" s="447">
        <f t="shared" si="41"/>
        <v>-3.1438148816066045E-3</v>
      </c>
      <c r="AB152" s="447">
        <f t="shared" si="41"/>
        <v>-3.1641427448061859E-3</v>
      </c>
      <c r="AC152" s="538">
        <f t="shared" si="41"/>
        <v>-3.1844706080057668E-3</v>
      </c>
      <c r="AD152" s="338">
        <f>SUM(F152:AC152)</f>
        <v>-6.6012300329750986E-2</v>
      </c>
    </row>
    <row r="153" spans="1:30" s="110" customFormat="1" ht="12">
      <c r="A153" s="58"/>
      <c r="B153" s="58"/>
      <c r="C153" s="49" t="s">
        <v>40</v>
      </c>
      <c r="D153" s="308">
        <f>D147</f>
        <v>-6200000</v>
      </c>
      <c r="E153" s="217"/>
      <c r="F153" s="315">
        <f>F152*$D153</f>
        <v>0</v>
      </c>
      <c r="G153" s="315">
        <f t="shared" ref="G153:AC153" si="42">G152*$D153</f>
        <v>4166.168353658355</v>
      </c>
      <c r="H153" s="315">
        <f t="shared" si="42"/>
        <v>16854.836759936159</v>
      </c>
      <c r="I153" s="315">
        <f t="shared" si="42"/>
        <v>17045.000105238891</v>
      </c>
      <c r="J153" s="315">
        <f t="shared" si="42"/>
        <v>17235.163450541622</v>
      </c>
      <c r="K153" s="315">
        <f t="shared" si="42"/>
        <v>17425.326795844354</v>
      </c>
      <c r="L153" s="315">
        <f t="shared" si="42"/>
        <v>17615.490141147086</v>
      </c>
      <c r="M153" s="315">
        <f t="shared" si="42"/>
        <v>17805.653486449817</v>
      </c>
      <c r="N153" s="315">
        <f t="shared" si="42"/>
        <v>17923.84026366597</v>
      </c>
      <c r="O153" s="315">
        <f t="shared" si="42"/>
        <v>18042.027040882123</v>
      </c>
      <c r="P153" s="315">
        <f t="shared" si="42"/>
        <v>18160.213818098269</v>
      </c>
      <c r="Q153" s="315">
        <f t="shared" si="42"/>
        <v>18278.400595314422</v>
      </c>
      <c r="R153" s="315">
        <f t="shared" si="42"/>
        <v>18396.587372530568</v>
      </c>
      <c r="S153" s="315">
        <f t="shared" si="42"/>
        <v>18514.774149746725</v>
      </c>
      <c r="T153" s="315">
        <f t="shared" si="42"/>
        <v>18632.960926962875</v>
      </c>
      <c r="U153" s="315">
        <f t="shared" si="42"/>
        <v>18751.147704179028</v>
      </c>
      <c r="V153" s="315">
        <f t="shared" si="42"/>
        <v>18869.334481395177</v>
      </c>
      <c r="W153" s="315">
        <f t="shared" si="42"/>
        <v>18987.521258611327</v>
      </c>
      <c r="X153" s="315">
        <f t="shared" si="42"/>
        <v>19113.554010448726</v>
      </c>
      <c r="Y153" s="315">
        <f t="shared" si="42"/>
        <v>19239.586762286137</v>
      </c>
      <c r="Z153" s="315">
        <f t="shared" si="42"/>
        <v>19365.61951412354</v>
      </c>
      <c r="AA153" s="315">
        <f t="shared" si="42"/>
        <v>19491.652265960947</v>
      </c>
      <c r="AB153" s="315">
        <f t="shared" si="42"/>
        <v>19617.685017798354</v>
      </c>
      <c r="AC153" s="390">
        <f t="shared" si="42"/>
        <v>19743.717769635754</v>
      </c>
      <c r="AD153" s="359">
        <f>SUM(F153:AC153)</f>
        <v>409276.26204445621</v>
      </c>
    </row>
    <row r="154" spans="1:30" s="110" customFormat="1" ht="12">
      <c r="A154" s="58"/>
      <c r="B154" s="58"/>
      <c r="C154" s="78" t="s">
        <v>543</v>
      </c>
      <c r="D154" s="210">
        <f>D148*D$151</f>
        <v>-3.7746476292504623E-7</v>
      </c>
      <c r="E154" s="217"/>
      <c r="F154" s="55">
        <f>$D154*(F$10+F$11+F$12)</f>
        <v>0</v>
      </c>
      <c r="G154" s="55">
        <f t="shared" ref="G154:AC154" si="43">$D154*(G$10+G$11+G$12)</f>
        <v>-2.0482570256127184E-2</v>
      </c>
      <c r="H154" s="55">
        <f t="shared" si="43"/>
        <v>-8.2865201015651965E-2</v>
      </c>
      <c r="I154" s="55">
        <f t="shared" si="43"/>
        <v>-8.3800121006795167E-2</v>
      </c>
      <c r="J154" s="55">
        <f t="shared" si="43"/>
        <v>-8.4735040997938382E-2</v>
      </c>
      <c r="K154" s="55">
        <f t="shared" si="43"/>
        <v>-8.5669960989081598E-2</v>
      </c>
      <c r="L154" s="55">
        <f t="shared" si="43"/>
        <v>-8.6604880980224799E-2</v>
      </c>
      <c r="M154" s="55">
        <f t="shared" si="43"/>
        <v>-8.7539800971368001E-2</v>
      </c>
      <c r="N154" s="55">
        <f t="shared" si="43"/>
        <v>-8.8120855014839239E-2</v>
      </c>
      <c r="O154" s="55">
        <f t="shared" si="43"/>
        <v>-8.8701909058310491E-2</v>
      </c>
      <c r="P154" s="55">
        <f t="shared" si="43"/>
        <v>-8.9282963101781687E-2</v>
      </c>
      <c r="Q154" s="55">
        <f t="shared" si="43"/>
        <v>-8.9864017145252939E-2</v>
      </c>
      <c r="R154" s="55">
        <f t="shared" si="43"/>
        <v>-9.0445071188724135E-2</v>
      </c>
      <c r="S154" s="55">
        <f t="shared" si="43"/>
        <v>-9.1026125232195387E-2</v>
      </c>
      <c r="T154" s="55">
        <f t="shared" si="43"/>
        <v>-9.1607179275666625E-2</v>
      </c>
      <c r="U154" s="55">
        <f t="shared" si="43"/>
        <v>-9.2188233319137849E-2</v>
      </c>
      <c r="V154" s="55">
        <f t="shared" si="43"/>
        <v>-9.2769287362609074E-2</v>
      </c>
      <c r="W154" s="55">
        <f t="shared" si="43"/>
        <v>-9.3350341406080284E-2</v>
      </c>
      <c r="X154" s="55">
        <f t="shared" si="43"/>
        <v>-9.396996943715008E-2</v>
      </c>
      <c r="Y154" s="55">
        <f t="shared" si="43"/>
        <v>-9.4589597468219919E-2</v>
      </c>
      <c r="Z154" s="55">
        <f t="shared" si="43"/>
        <v>-9.5209225499289729E-2</v>
      </c>
      <c r="AA154" s="55">
        <f t="shared" si="43"/>
        <v>-9.5828853530359553E-2</v>
      </c>
      <c r="AB154" s="55">
        <f t="shared" si="43"/>
        <v>-9.6448481561429364E-2</v>
      </c>
      <c r="AC154" s="270">
        <f t="shared" si="43"/>
        <v>-9.706810959249916E-2</v>
      </c>
      <c r="AD154" s="338">
        <f>SUM(F154:AC154)</f>
        <v>-2.0121677954107327</v>
      </c>
    </row>
    <row r="155" spans="1:30" s="110" customFormat="1" ht="12">
      <c r="A155" s="58"/>
      <c r="B155" s="58"/>
      <c r="C155" s="49" t="s">
        <v>41</v>
      </c>
      <c r="D155" s="308">
        <f>D149</f>
        <v>-291400</v>
      </c>
      <c r="E155" s="217"/>
      <c r="F155" s="315">
        <f>F154*$D155</f>
        <v>0</v>
      </c>
      <c r="G155" s="315">
        <f t="shared" ref="G155:AC155" si="44">G154*$D155</f>
        <v>5968.6209726354618</v>
      </c>
      <c r="H155" s="315">
        <f t="shared" si="44"/>
        <v>24146.919575960983</v>
      </c>
      <c r="I155" s="315">
        <f t="shared" si="44"/>
        <v>24419.355261380111</v>
      </c>
      <c r="J155" s="315">
        <f t="shared" si="44"/>
        <v>24691.790946799243</v>
      </c>
      <c r="K155" s="315">
        <f t="shared" si="44"/>
        <v>24964.226632218379</v>
      </c>
      <c r="L155" s="315">
        <f t="shared" si="44"/>
        <v>25236.662317637507</v>
      </c>
      <c r="M155" s="315">
        <f t="shared" si="44"/>
        <v>25509.098003056635</v>
      </c>
      <c r="N155" s="315">
        <f t="shared" si="44"/>
        <v>25678.417151324153</v>
      </c>
      <c r="O155" s="315">
        <f t="shared" si="44"/>
        <v>25847.736299591677</v>
      </c>
      <c r="P155" s="315">
        <f t="shared" si="44"/>
        <v>26017.055447859184</v>
      </c>
      <c r="Q155" s="315">
        <f t="shared" si="44"/>
        <v>26186.374596126705</v>
      </c>
      <c r="R155" s="315">
        <f t="shared" si="44"/>
        <v>26355.693744394212</v>
      </c>
      <c r="S155" s="315">
        <f t="shared" si="44"/>
        <v>26525.012892661736</v>
      </c>
      <c r="T155" s="315">
        <f t="shared" si="44"/>
        <v>26694.332040929254</v>
      </c>
      <c r="U155" s="315">
        <f t="shared" si="44"/>
        <v>26863.651189196768</v>
      </c>
      <c r="V155" s="315">
        <f t="shared" si="44"/>
        <v>27032.970337464285</v>
      </c>
      <c r="W155" s="315">
        <f t="shared" si="44"/>
        <v>27202.289485731795</v>
      </c>
      <c r="X155" s="315">
        <f t="shared" si="44"/>
        <v>27382.849093985533</v>
      </c>
      <c r="Y155" s="315">
        <f t="shared" si="44"/>
        <v>27563.408702239285</v>
      </c>
      <c r="Z155" s="315">
        <f t="shared" si="44"/>
        <v>27743.968310493026</v>
      </c>
      <c r="AA155" s="315">
        <f t="shared" si="44"/>
        <v>27924.527918746775</v>
      </c>
      <c r="AB155" s="315">
        <f t="shared" si="44"/>
        <v>28105.087527000516</v>
      </c>
      <c r="AC155" s="390">
        <f t="shared" si="44"/>
        <v>28285.647135254254</v>
      </c>
      <c r="AD155" s="359">
        <f>SUM(F155:AC155)</f>
        <v>586345.69558268739</v>
      </c>
    </row>
    <row r="156" spans="1:30" s="110" customFormat="1" ht="12">
      <c r="A156" s="58"/>
      <c r="D156" s="210"/>
      <c r="E156" s="217"/>
      <c r="AC156" s="262"/>
      <c r="AD156" s="337"/>
    </row>
    <row r="157" spans="1:30" s="110" customFormat="1" ht="12">
      <c r="A157" s="58"/>
      <c r="B157" s="58" t="s">
        <v>222</v>
      </c>
      <c r="D157" s="210"/>
      <c r="E157" s="217"/>
      <c r="AC157" s="262"/>
      <c r="AD157" s="337"/>
    </row>
    <row r="158" spans="1:30" s="110" customFormat="1" ht="12">
      <c r="A158" s="58"/>
      <c r="B158" s="444" t="s">
        <v>587</v>
      </c>
      <c r="C158" s="78" t="s">
        <v>518</v>
      </c>
      <c r="D158" s="210"/>
      <c r="E158" s="217"/>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270"/>
      <c r="AD158" s="353"/>
    </row>
    <row r="159" spans="1:30" s="110" customFormat="1" ht="12">
      <c r="A159" s="58"/>
      <c r="C159" s="78" t="s">
        <v>542</v>
      </c>
      <c r="D159" s="210">
        <f>'Mode Operating Assumptions'!$D$195</f>
        <v>1.8722590666405648E-7</v>
      </c>
      <c r="E159" s="217"/>
      <c r="F159" s="55">
        <f t="shared" ref="F159:AC159" si="45">$D$159*(F$16+F$17)</f>
        <v>0</v>
      </c>
      <c r="G159" s="55">
        <f t="shared" si="45"/>
        <v>1.4323214728212785E-4</v>
      </c>
      <c r="H159" s="55">
        <f t="shared" si="45"/>
        <v>5.7946637204315166E-4</v>
      </c>
      <c r="I159" s="55">
        <f t="shared" si="45"/>
        <v>5.8600415495779214E-4</v>
      </c>
      <c r="J159" s="55">
        <f t="shared" si="45"/>
        <v>5.9254193787243263E-4</v>
      </c>
      <c r="K159" s="55">
        <f t="shared" si="45"/>
        <v>5.9907972078707312E-4</v>
      </c>
      <c r="L159" s="55">
        <f t="shared" si="45"/>
        <v>6.0561750370171339E-4</v>
      </c>
      <c r="M159" s="55">
        <f t="shared" si="45"/>
        <v>6.1215528661635388E-4</v>
      </c>
      <c r="N159" s="55">
        <f t="shared" si="45"/>
        <v>6.1621852757159728E-4</v>
      </c>
      <c r="O159" s="55">
        <f t="shared" si="45"/>
        <v>6.2028176852684067E-4</v>
      </c>
      <c r="P159" s="55">
        <f t="shared" si="45"/>
        <v>6.2434500948208417E-4</v>
      </c>
      <c r="Q159" s="55">
        <f t="shared" si="45"/>
        <v>6.2840825043732756E-4</v>
      </c>
      <c r="R159" s="55">
        <f t="shared" si="45"/>
        <v>6.3247149139257085E-4</v>
      </c>
      <c r="S159" s="55">
        <f t="shared" si="45"/>
        <v>6.3653473234781446E-4</v>
      </c>
      <c r="T159" s="55">
        <f t="shared" si="45"/>
        <v>6.4059797330305774E-4</v>
      </c>
      <c r="U159" s="55">
        <f t="shared" si="45"/>
        <v>6.4466121425830135E-4</v>
      </c>
      <c r="V159" s="55">
        <f t="shared" si="45"/>
        <v>6.4872445521354475E-4</v>
      </c>
      <c r="W159" s="55">
        <f t="shared" si="45"/>
        <v>6.5278769616878814E-4</v>
      </c>
      <c r="X159" s="55">
        <f t="shared" si="45"/>
        <v>6.5712068037421397E-4</v>
      </c>
      <c r="Y159" s="55">
        <f t="shared" si="45"/>
        <v>6.6145366457964002E-4</v>
      </c>
      <c r="Z159" s="55">
        <f t="shared" si="45"/>
        <v>6.6578664878506595E-4</v>
      </c>
      <c r="AA159" s="55">
        <f t="shared" si="45"/>
        <v>6.7011963299049189E-4</v>
      </c>
      <c r="AB159" s="55">
        <f t="shared" si="45"/>
        <v>6.7445261719591783E-4</v>
      </c>
      <c r="AC159" s="270">
        <f t="shared" si="45"/>
        <v>6.7878560140134366E-4</v>
      </c>
      <c r="AD159" s="353">
        <f t="shared" si="30"/>
        <v>1.4070847087289246E-2</v>
      </c>
    </row>
    <row r="160" spans="1:30" s="110" customFormat="1" ht="12">
      <c r="A160" s="58"/>
      <c r="C160" s="49" t="s">
        <v>40</v>
      </c>
      <c r="D160" s="308">
        <f>D147</f>
        <v>-6200000</v>
      </c>
      <c r="E160" s="217"/>
      <c r="F160" s="255">
        <f>F159*$D$160</f>
        <v>0</v>
      </c>
      <c r="G160" s="255">
        <f t="shared" ref="G160:AC160" si="46">G159*$D$160</f>
        <v>-888.03931314919259</v>
      </c>
      <c r="H160" s="255">
        <f t="shared" si="46"/>
        <v>-3592.6915066675401</v>
      </c>
      <c r="I160" s="255">
        <f t="shared" si="46"/>
        <v>-3633.2257607383112</v>
      </c>
      <c r="J160" s="255">
        <f t="shared" si="46"/>
        <v>-3673.7600148090823</v>
      </c>
      <c r="K160" s="255">
        <f t="shared" si="46"/>
        <v>-3714.2942688798535</v>
      </c>
      <c r="L160" s="255">
        <f t="shared" si="46"/>
        <v>-3754.8285229506232</v>
      </c>
      <c r="M160" s="255">
        <f t="shared" si="46"/>
        <v>-3795.3627770213939</v>
      </c>
      <c r="N160" s="255">
        <f t="shared" si="46"/>
        <v>-3820.5548709439031</v>
      </c>
      <c r="O160" s="255">
        <f t="shared" si="46"/>
        <v>-3845.7469648664123</v>
      </c>
      <c r="P160" s="255">
        <f t="shared" si="46"/>
        <v>-3870.939058788922</v>
      </c>
      <c r="Q160" s="255">
        <f t="shared" si="46"/>
        <v>-3896.1311527114308</v>
      </c>
      <c r="R160" s="255">
        <f t="shared" si="46"/>
        <v>-3921.3232466339391</v>
      </c>
      <c r="S160" s="255">
        <f t="shared" si="46"/>
        <v>-3946.5153405564497</v>
      </c>
      <c r="T160" s="255">
        <f t="shared" si="46"/>
        <v>-3971.707434478958</v>
      </c>
      <c r="U160" s="255">
        <f t="shared" si="46"/>
        <v>-3996.8995284014686</v>
      </c>
      <c r="V160" s="255">
        <f t="shared" si="46"/>
        <v>-4022.0916223239774</v>
      </c>
      <c r="W160" s="255">
        <f t="shared" si="46"/>
        <v>-4047.2837162464866</v>
      </c>
      <c r="X160" s="255">
        <f t="shared" si="46"/>
        <v>-4074.1482183201265</v>
      </c>
      <c r="Y160" s="255">
        <f t="shared" si="46"/>
        <v>-4101.0127203937682</v>
      </c>
      <c r="Z160" s="255">
        <f t="shared" si="46"/>
        <v>-4127.8772224674085</v>
      </c>
      <c r="AA160" s="255">
        <f t="shared" si="46"/>
        <v>-4154.7417245410497</v>
      </c>
      <c r="AB160" s="255">
        <f t="shared" si="46"/>
        <v>-4181.606226614691</v>
      </c>
      <c r="AC160" s="268">
        <f t="shared" si="46"/>
        <v>-4208.4707286883304</v>
      </c>
      <c r="AD160" s="346">
        <f t="shared" si="30"/>
        <v>-87239.251941193317</v>
      </c>
    </row>
    <row r="161" spans="1:30" s="110" customFormat="1" ht="12">
      <c r="A161" s="58"/>
      <c r="C161" s="78" t="s">
        <v>543</v>
      </c>
      <c r="D161" s="210">
        <f>'Mode Operating Assumptions'!$D$196</f>
        <v>8.7375046258002826E-6</v>
      </c>
      <c r="E161" s="217"/>
      <c r="F161" s="55">
        <f t="shared" ref="F161:AC161" si="47">$D$161*(F$16+F$17)</f>
        <v>0</v>
      </c>
      <c r="G161" s="55">
        <f t="shared" si="47"/>
        <v>6.6843930508317852E-3</v>
      </c>
      <c r="H161" s="55">
        <f t="shared" si="47"/>
        <v>2.7042679063146738E-2</v>
      </c>
      <c r="I161" s="55">
        <f t="shared" si="47"/>
        <v>2.7347785922966345E-2</v>
      </c>
      <c r="J161" s="55">
        <f t="shared" si="47"/>
        <v>2.7652892782785952E-2</v>
      </c>
      <c r="K161" s="55">
        <f t="shared" si="47"/>
        <v>2.795799964260556E-2</v>
      </c>
      <c r="L161" s="55">
        <f t="shared" si="47"/>
        <v>2.8263106502425157E-2</v>
      </c>
      <c r="M161" s="55">
        <f t="shared" si="47"/>
        <v>2.8568213362244764E-2</v>
      </c>
      <c r="N161" s="55">
        <f t="shared" si="47"/>
        <v>2.8757837689747066E-2</v>
      </c>
      <c r="O161" s="55">
        <f t="shared" si="47"/>
        <v>2.8947462017249365E-2</v>
      </c>
      <c r="P161" s="55">
        <f t="shared" si="47"/>
        <v>2.9137086344751675E-2</v>
      </c>
      <c r="Q161" s="55">
        <f t="shared" si="47"/>
        <v>2.9326710672253977E-2</v>
      </c>
      <c r="R161" s="55">
        <f t="shared" si="47"/>
        <v>2.9516334999756269E-2</v>
      </c>
      <c r="S161" s="55">
        <f t="shared" si="47"/>
        <v>2.9705959327258582E-2</v>
      </c>
      <c r="T161" s="55">
        <f t="shared" si="47"/>
        <v>2.9895583654760881E-2</v>
      </c>
      <c r="U161" s="55">
        <f t="shared" si="47"/>
        <v>3.008520798226319E-2</v>
      </c>
      <c r="V161" s="55">
        <f t="shared" si="47"/>
        <v>3.0274832309765489E-2</v>
      </c>
      <c r="W161" s="55">
        <f t="shared" si="47"/>
        <v>3.0464456637267791E-2</v>
      </c>
      <c r="X161" s="55">
        <f t="shared" si="47"/>
        <v>3.0666669409063096E-2</v>
      </c>
      <c r="Y161" s="55">
        <f t="shared" si="47"/>
        <v>3.0868882180858412E-2</v>
      </c>
      <c r="Z161" s="55">
        <f t="shared" si="47"/>
        <v>3.107109495265372E-2</v>
      </c>
      <c r="AA161" s="55">
        <f t="shared" si="47"/>
        <v>3.1273307724449029E-2</v>
      </c>
      <c r="AB161" s="55">
        <f t="shared" si="47"/>
        <v>3.1475520496244337E-2</v>
      </c>
      <c r="AC161" s="270">
        <f t="shared" si="47"/>
        <v>3.1677733268039646E-2</v>
      </c>
      <c r="AD161" s="353">
        <f t="shared" si="30"/>
        <v>0.65666174999338878</v>
      </c>
    </row>
    <row r="162" spans="1:30" s="110" customFormat="1" ht="12">
      <c r="A162" s="58"/>
      <c r="C162" s="49" t="s">
        <v>41</v>
      </c>
      <c r="D162" s="308">
        <f>D149</f>
        <v>-291400</v>
      </c>
      <c r="E162" s="217"/>
      <c r="F162" s="255">
        <f>F161*$D$162</f>
        <v>0</v>
      </c>
      <c r="G162" s="255">
        <f t="shared" ref="G162:AC162" si="48">G161*$D$162</f>
        <v>-1947.8321350123822</v>
      </c>
      <c r="H162" s="255">
        <f t="shared" si="48"/>
        <v>-7880.2366790009592</v>
      </c>
      <c r="I162" s="255">
        <f t="shared" si="48"/>
        <v>-7969.1448179523932</v>
      </c>
      <c r="J162" s="255">
        <f t="shared" si="48"/>
        <v>-8058.0529569038263</v>
      </c>
      <c r="K162" s="255">
        <f t="shared" si="48"/>
        <v>-8146.9610958552603</v>
      </c>
      <c r="L162" s="255">
        <f t="shared" si="48"/>
        <v>-8235.8692348066907</v>
      </c>
      <c r="M162" s="255">
        <f t="shared" si="48"/>
        <v>-8324.7773737581247</v>
      </c>
      <c r="N162" s="255">
        <f t="shared" si="48"/>
        <v>-8380.0339027922946</v>
      </c>
      <c r="O162" s="255">
        <f t="shared" si="48"/>
        <v>-8435.2904318264646</v>
      </c>
      <c r="P162" s="255">
        <f t="shared" si="48"/>
        <v>-8490.5469608606381</v>
      </c>
      <c r="Q162" s="255">
        <f t="shared" si="48"/>
        <v>-8545.8034898948081</v>
      </c>
      <c r="R162" s="255">
        <f t="shared" si="48"/>
        <v>-8601.0600189289762</v>
      </c>
      <c r="S162" s="255">
        <f t="shared" si="48"/>
        <v>-8656.3165479631516</v>
      </c>
      <c r="T162" s="255">
        <f t="shared" si="48"/>
        <v>-8711.5730769973216</v>
      </c>
      <c r="U162" s="255">
        <f t="shared" si="48"/>
        <v>-8766.8296060314933</v>
      </c>
      <c r="V162" s="255">
        <f t="shared" si="48"/>
        <v>-8822.0861350656633</v>
      </c>
      <c r="W162" s="255">
        <f t="shared" si="48"/>
        <v>-8877.342664099835</v>
      </c>
      <c r="X162" s="255">
        <f t="shared" si="48"/>
        <v>-8936.2674658009855</v>
      </c>
      <c r="Y162" s="255">
        <f t="shared" si="48"/>
        <v>-8995.1922675021415</v>
      </c>
      <c r="Z162" s="255">
        <f t="shared" si="48"/>
        <v>-9054.1170692032938</v>
      </c>
      <c r="AA162" s="255">
        <f t="shared" si="48"/>
        <v>-9113.0418709044461</v>
      </c>
      <c r="AB162" s="255">
        <f t="shared" si="48"/>
        <v>-9171.9666726056003</v>
      </c>
      <c r="AC162" s="268">
        <f t="shared" si="48"/>
        <v>-9230.8914743067526</v>
      </c>
      <c r="AD162" s="346">
        <f t="shared" si="30"/>
        <v>-191351.2339480735</v>
      </c>
    </row>
    <row r="163" spans="1:30" s="110" customFormat="1" ht="12">
      <c r="A163" s="58"/>
      <c r="C163" s="49"/>
      <c r="D163" s="308"/>
      <c r="E163" s="217"/>
      <c r="F163" s="255"/>
      <c r="G163" s="255"/>
      <c r="H163" s="255"/>
      <c r="I163" s="255"/>
      <c r="J163" s="255"/>
      <c r="K163" s="255"/>
      <c r="L163" s="255"/>
      <c r="M163" s="255"/>
      <c r="N163" s="255"/>
      <c r="O163" s="255"/>
      <c r="P163" s="255"/>
      <c r="Q163" s="255"/>
      <c r="R163" s="255"/>
      <c r="S163" s="255"/>
      <c r="T163" s="255"/>
      <c r="U163" s="255"/>
      <c r="V163" s="255"/>
      <c r="W163" s="255"/>
      <c r="X163" s="255"/>
      <c r="Y163" s="255"/>
      <c r="Z163" s="255"/>
      <c r="AA163" s="255"/>
      <c r="AB163" s="255"/>
      <c r="AC163" s="268"/>
      <c r="AD163" s="346"/>
    </row>
    <row r="164" spans="1:30" s="110" customFormat="1" ht="12">
      <c r="A164" s="58"/>
      <c r="C164" s="78" t="s">
        <v>586</v>
      </c>
      <c r="D164" s="443">
        <v>-0.15</v>
      </c>
      <c r="E164" s="217"/>
      <c r="F164" s="45"/>
      <c r="G164" s="45"/>
      <c r="H164" s="45"/>
      <c r="I164" s="45"/>
      <c r="J164" s="45"/>
      <c r="K164" s="45"/>
      <c r="L164" s="45"/>
      <c r="M164" s="45"/>
      <c r="N164" s="45"/>
      <c r="O164" s="45"/>
      <c r="P164" s="45"/>
      <c r="Q164" s="45"/>
      <c r="R164" s="45"/>
      <c r="S164" s="45"/>
      <c r="T164" s="45"/>
      <c r="U164" s="45"/>
      <c r="V164" s="45"/>
      <c r="W164" s="45"/>
      <c r="X164" s="45"/>
      <c r="Y164" s="45"/>
      <c r="Z164" s="45"/>
      <c r="AA164" s="45"/>
      <c r="AB164" s="45"/>
      <c r="AC164" s="263"/>
      <c r="AD164" s="337"/>
    </row>
    <row r="165" spans="1:30" s="110" customFormat="1" ht="12">
      <c r="A165" s="58"/>
      <c r="B165" s="445" t="s">
        <v>588</v>
      </c>
      <c r="C165" s="78" t="s">
        <v>542</v>
      </c>
      <c r="D165" s="210">
        <f>D159*D$164</f>
        <v>-2.8083885999608471E-8</v>
      </c>
      <c r="E165" s="217"/>
      <c r="F165" s="55">
        <f>$D165*(F$15+F$16+F$17)</f>
        <v>0</v>
      </c>
      <c r="G165" s="55">
        <f t="shared" ref="G165:AC165" si="49">$D165*(G$15+G$16+G$17)</f>
        <v>-1.6471696937444701E-4</v>
      </c>
      <c r="H165" s="55">
        <f t="shared" si="49"/>
        <v>-6.6638632784962455E-4</v>
      </c>
      <c r="I165" s="55">
        <f t="shared" si="49"/>
        <v>-6.7390477820146097E-4</v>
      </c>
      <c r="J165" s="55">
        <f t="shared" si="49"/>
        <v>-6.814232285532975E-4</v>
      </c>
      <c r="K165" s="55">
        <f t="shared" si="49"/>
        <v>-6.8894167890513392E-4</v>
      </c>
      <c r="L165" s="55">
        <f t="shared" si="49"/>
        <v>-6.9646012925697034E-4</v>
      </c>
      <c r="M165" s="55">
        <f t="shared" si="49"/>
        <v>-7.0397857960880687E-4</v>
      </c>
      <c r="N165" s="55">
        <f t="shared" si="49"/>
        <v>-7.0865130670733675E-4</v>
      </c>
      <c r="O165" s="55">
        <f t="shared" si="49"/>
        <v>-7.1332403380586673E-4</v>
      </c>
      <c r="P165" s="55">
        <f t="shared" si="49"/>
        <v>-7.1799676090439672E-4</v>
      </c>
      <c r="Q165" s="55">
        <f t="shared" si="49"/>
        <v>-7.2266948800292681E-4</v>
      </c>
      <c r="R165" s="55">
        <f t="shared" si="49"/>
        <v>-7.2734221510145636E-4</v>
      </c>
      <c r="S165" s="55">
        <f t="shared" si="49"/>
        <v>-7.3201494219998656E-4</v>
      </c>
      <c r="T165" s="55">
        <f t="shared" si="49"/>
        <v>-7.3668766929851643E-4</v>
      </c>
      <c r="U165" s="55">
        <f t="shared" si="49"/>
        <v>-7.4136039639704642E-4</v>
      </c>
      <c r="V165" s="55">
        <f t="shared" si="49"/>
        <v>-7.460331234955764E-4</v>
      </c>
      <c r="W165" s="55">
        <f t="shared" si="49"/>
        <v>-7.5070585059410627E-4</v>
      </c>
      <c r="X165" s="55">
        <f t="shared" si="49"/>
        <v>-7.5568878243034612E-4</v>
      </c>
      <c r="Y165" s="55">
        <f t="shared" si="49"/>
        <v>-7.6067171426658596E-4</v>
      </c>
      <c r="Z165" s="55">
        <f t="shared" si="49"/>
        <v>-7.6565464610282581E-4</v>
      </c>
      <c r="AA165" s="55">
        <f t="shared" si="49"/>
        <v>-7.7063757793906554E-4</v>
      </c>
      <c r="AB165" s="55">
        <f t="shared" si="49"/>
        <v>-7.7562050977530539E-4</v>
      </c>
      <c r="AC165" s="270">
        <f t="shared" si="49"/>
        <v>-7.8060344161154512E-4</v>
      </c>
      <c r="AD165" s="338">
        <f>SUM(F165:AC165)</f>
        <v>-1.6181474150382628E-2</v>
      </c>
    </row>
    <row r="166" spans="1:30" s="110" customFormat="1" ht="12">
      <c r="A166" s="58"/>
      <c r="B166" s="58"/>
      <c r="C166" s="49" t="s">
        <v>40</v>
      </c>
      <c r="D166" s="308">
        <f>D160</f>
        <v>-6200000</v>
      </c>
      <c r="E166" s="217"/>
      <c r="F166" s="315">
        <f t="shared" ref="F166" si="50">F165*$D$166</f>
        <v>0</v>
      </c>
      <c r="G166" s="315">
        <f t="shared" ref="G166:AB166" si="51">G165*$D$166</f>
        <v>1021.2452101215714</v>
      </c>
      <c r="H166" s="315">
        <f t="shared" si="51"/>
        <v>4131.5952326676725</v>
      </c>
      <c r="I166" s="315">
        <f t="shared" si="51"/>
        <v>4178.2096248490579</v>
      </c>
      <c r="J166" s="315">
        <f t="shared" si="51"/>
        <v>4224.8240170304443</v>
      </c>
      <c r="K166" s="315">
        <f t="shared" si="51"/>
        <v>4271.4384092118307</v>
      </c>
      <c r="L166" s="315">
        <f t="shared" si="51"/>
        <v>4318.0528013932162</v>
      </c>
      <c r="M166" s="315">
        <f t="shared" si="51"/>
        <v>4364.6671935746026</v>
      </c>
      <c r="N166" s="315">
        <f t="shared" si="51"/>
        <v>4393.6381015854877</v>
      </c>
      <c r="O166" s="315">
        <f t="shared" si="51"/>
        <v>4422.6090095963737</v>
      </c>
      <c r="P166" s="315">
        <f t="shared" si="51"/>
        <v>4451.5799176072596</v>
      </c>
      <c r="Q166" s="315">
        <f t="shared" si="51"/>
        <v>4480.5508256181465</v>
      </c>
      <c r="R166" s="315">
        <f t="shared" si="51"/>
        <v>4509.5217336290298</v>
      </c>
      <c r="S166" s="315">
        <f t="shared" si="51"/>
        <v>4538.4926416399167</v>
      </c>
      <c r="T166" s="315">
        <f t="shared" si="51"/>
        <v>4567.4635496508017</v>
      </c>
      <c r="U166" s="315">
        <f t="shared" si="51"/>
        <v>4596.4344576616877</v>
      </c>
      <c r="V166" s="315">
        <f t="shared" si="51"/>
        <v>4625.4053656725737</v>
      </c>
      <c r="W166" s="315">
        <f t="shared" si="51"/>
        <v>4654.3762736834587</v>
      </c>
      <c r="X166" s="315">
        <f t="shared" si="51"/>
        <v>4685.270451068146</v>
      </c>
      <c r="Y166" s="315">
        <f t="shared" si="51"/>
        <v>4716.1646284528333</v>
      </c>
      <c r="Z166" s="315">
        <f t="shared" si="51"/>
        <v>4747.0588058375197</v>
      </c>
      <c r="AA166" s="315">
        <f t="shared" si="51"/>
        <v>4777.9529832222061</v>
      </c>
      <c r="AB166" s="315">
        <f t="shared" si="51"/>
        <v>4808.8471606068933</v>
      </c>
      <c r="AC166" s="390">
        <f t="shared" ref="AC166" si="52">AC165*$D$166</f>
        <v>4839.7413379915797</v>
      </c>
      <c r="AD166" s="359">
        <f>SUM(F166:AC166)</f>
        <v>100325.13973237232</v>
      </c>
    </row>
    <row r="167" spans="1:30" s="110" customFormat="1" ht="12">
      <c r="A167" s="58"/>
      <c r="B167" s="58"/>
      <c r="C167" s="78" t="s">
        <v>543</v>
      </c>
      <c r="D167" s="210">
        <f>D161*D$164</f>
        <v>-1.3106256938700423E-6</v>
      </c>
      <c r="E167" s="217"/>
      <c r="F167" s="55">
        <f>$D167*(F$15+F$16+F$17)</f>
        <v>0</v>
      </c>
      <c r="G167" s="55">
        <f t="shared" ref="G167:AC167" si="53">$D167*(G$15+G$16+G$17)</f>
        <v>-7.6870520084565512E-3</v>
      </c>
      <c r="H167" s="55">
        <f t="shared" si="53"/>
        <v>-3.109908092261875E-2</v>
      </c>
      <c r="I167" s="55">
        <f t="shared" si="53"/>
        <v>-3.1449953811411295E-2</v>
      </c>
      <c r="J167" s="55">
        <f t="shared" si="53"/>
        <v>-3.1800826700203844E-2</v>
      </c>
      <c r="K167" s="55">
        <f t="shared" si="53"/>
        <v>-3.2151699588996385E-2</v>
      </c>
      <c r="L167" s="55">
        <f t="shared" si="53"/>
        <v>-3.2502572477788927E-2</v>
      </c>
      <c r="M167" s="55">
        <f t="shared" si="53"/>
        <v>-3.2853445366581475E-2</v>
      </c>
      <c r="N167" s="55">
        <f t="shared" si="53"/>
        <v>-3.3071513343209125E-2</v>
      </c>
      <c r="O167" s="55">
        <f t="shared" si="53"/>
        <v>-3.3289581319836774E-2</v>
      </c>
      <c r="P167" s="55">
        <f t="shared" si="53"/>
        <v>-3.3507649296464423E-2</v>
      </c>
      <c r="Q167" s="55">
        <f t="shared" si="53"/>
        <v>-3.3725717273092079E-2</v>
      </c>
      <c r="R167" s="55">
        <f t="shared" si="53"/>
        <v>-3.3943785249719707E-2</v>
      </c>
      <c r="S167" s="55">
        <f t="shared" si="53"/>
        <v>-3.4161853226347363E-2</v>
      </c>
      <c r="T167" s="55">
        <f t="shared" si="53"/>
        <v>-3.4379921202975013E-2</v>
      </c>
      <c r="U167" s="55">
        <f t="shared" si="53"/>
        <v>-3.4597989179602662E-2</v>
      </c>
      <c r="V167" s="55">
        <f t="shared" si="53"/>
        <v>-3.4816057156230318E-2</v>
      </c>
      <c r="W167" s="55">
        <f t="shared" si="53"/>
        <v>-3.503412513285796E-2</v>
      </c>
      <c r="X167" s="55">
        <f t="shared" si="53"/>
        <v>-3.5266669820422564E-2</v>
      </c>
      <c r="Y167" s="55">
        <f t="shared" si="53"/>
        <v>-3.5499214507987167E-2</v>
      </c>
      <c r="Z167" s="55">
        <f t="shared" si="53"/>
        <v>-3.5731759195551771E-2</v>
      </c>
      <c r="AA167" s="55">
        <f t="shared" si="53"/>
        <v>-3.5964303883116375E-2</v>
      </c>
      <c r="AB167" s="55">
        <f t="shared" si="53"/>
        <v>-3.6196848570680985E-2</v>
      </c>
      <c r="AC167" s="270">
        <f t="shared" si="53"/>
        <v>-3.6429393258245589E-2</v>
      </c>
      <c r="AD167" s="338">
        <f>SUM(F167:AC167)</f>
        <v>-0.75516101249239709</v>
      </c>
    </row>
    <row r="168" spans="1:30" s="110" customFormat="1" ht="12">
      <c r="A168" s="58"/>
      <c r="B168" s="58"/>
      <c r="C168" s="49" t="s">
        <v>41</v>
      </c>
      <c r="D168" s="308">
        <f>D162</f>
        <v>-291400</v>
      </c>
      <c r="E168" s="217"/>
      <c r="F168" s="315">
        <f t="shared" ref="F168" si="54">F167*$D$168</f>
        <v>0</v>
      </c>
      <c r="G168" s="315">
        <f t="shared" ref="G168:AB168" si="55">G167*$D$168</f>
        <v>2240.006955264239</v>
      </c>
      <c r="H168" s="315">
        <f t="shared" si="55"/>
        <v>9062.2721808511033</v>
      </c>
      <c r="I168" s="315">
        <f t="shared" si="55"/>
        <v>9164.5165406452506</v>
      </c>
      <c r="J168" s="315">
        <f t="shared" si="55"/>
        <v>9266.7609004393998</v>
      </c>
      <c r="K168" s="315">
        <f t="shared" si="55"/>
        <v>9369.0052602335472</v>
      </c>
      <c r="L168" s="315">
        <f t="shared" si="55"/>
        <v>9471.2496200276928</v>
      </c>
      <c r="M168" s="315">
        <f t="shared" si="55"/>
        <v>9573.493979821842</v>
      </c>
      <c r="N168" s="315">
        <f t="shared" si="55"/>
        <v>9637.0389882111394</v>
      </c>
      <c r="O168" s="315">
        <f t="shared" si="55"/>
        <v>9700.5839966004351</v>
      </c>
      <c r="P168" s="315">
        <f t="shared" si="55"/>
        <v>9764.1290049897325</v>
      </c>
      <c r="Q168" s="315">
        <f t="shared" si="55"/>
        <v>9827.6740133790317</v>
      </c>
      <c r="R168" s="315">
        <f t="shared" si="55"/>
        <v>9891.2190217683219</v>
      </c>
      <c r="S168" s="315">
        <f t="shared" si="55"/>
        <v>9954.7640301576212</v>
      </c>
      <c r="T168" s="315">
        <f t="shared" si="55"/>
        <v>10018.309038546919</v>
      </c>
      <c r="U168" s="315">
        <f t="shared" si="55"/>
        <v>10081.854046936216</v>
      </c>
      <c r="V168" s="315">
        <f t="shared" si="55"/>
        <v>10145.399055325515</v>
      </c>
      <c r="W168" s="315">
        <f t="shared" si="55"/>
        <v>10208.944063714809</v>
      </c>
      <c r="X168" s="315">
        <f t="shared" si="55"/>
        <v>10276.707585671134</v>
      </c>
      <c r="Y168" s="315">
        <f t="shared" si="55"/>
        <v>10344.47110762746</v>
      </c>
      <c r="Z168" s="315">
        <f t="shared" si="55"/>
        <v>10412.234629583787</v>
      </c>
      <c r="AA168" s="315">
        <f t="shared" si="55"/>
        <v>10479.998151540112</v>
      </c>
      <c r="AB168" s="315">
        <f t="shared" si="55"/>
        <v>10547.761673496439</v>
      </c>
      <c r="AC168" s="390">
        <f t="shared" ref="AC168" si="56">AC167*$D$168</f>
        <v>10615.525195452765</v>
      </c>
      <c r="AD168" s="359">
        <f>SUM(F168:AC168)</f>
        <v>220053.9190402845</v>
      </c>
    </row>
    <row r="169" spans="1:30" s="110" customFormat="1" ht="12">
      <c r="A169" s="58"/>
      <c r="B169" s="58"/>
      <c r="C169" s="49"/>
      <c r="D169" s="210"/>
      <c r="E169" s="217"/>
      <c r="F169" s="255"/>
      <c r="G169" s="255"/>
      <c r="H169" s="255"/>
      <c r="I169" s="255"/>
      <c r="J169" s="255"/>
      <c r="K169" s="255"/>
      <c r="L169" s="255"/>
      <c r="M169" s="255"/>
      <c r="N169" s="255"/>
      <c r="O169" s="255"/>
      <c r="P169" s="255"/>
      <c r="Q169" s="255"/>
      <c r="R169" s="255"/>
      <c r="S169" s="255"/>
      <c r="T169" s="255"/>
      <c r="U169" s="255"/>
      <c r="V169" s="255"/>
      <c r="W169" s="255"/>
      <c r="X169" s="255"/>
      <c r="Y169" s="255"/>
      <c r="Z169" s="255"/>
      <c r="AA169" s="255"/>
      <c r="AB169" s="255"/>
      <c r="AC169" s="268"/>
      <c r="AD169" s="346"/>
    </row>
    <row r="170" spans="1:30" s="110" customFormat="1" ht="12">
      <c r="A170" s="58"/>
      <c r="B170" s="58" t="s">
        <v>528</v>
      </c>
      <c r="C170" s="78" t="s">
        <v>581</v>
      </c>
      <c r="D170" s="210"/>
      <c r="E170" s="217"/>
      <c r="AC170" s="262"/>
      <c r="AD170" s="337"/>
    </row>
    <row r="171" spans="1:30" s="110" customFormat="1" ht="12">
      <c r="A171" s="58"/>
      <c r="B171" s="58"/>
      <c r="C171" s="78" t="s">
        <v>542</v>
      </c>
      <c r="D171" s="210">
        <f>'Mode Operating Assumptions'!$D$184</f>
        <v>8.6836127924972328E-9</v>
      </c>
      <c r="E171" s="217"/>
      <c r="F171" s="55">
        <f>$D171*F$23</f>
        <v>0</v>
      </c>
      <c r="G171" s="55">
        <f t="shared" ref="G171:AC171" si="57">$D171*G$23</f>
        <v>-8.8259330020190005E-5</v>
      </c>
      <c r="H171" s="55">
        <f t="shared" si="57"/>
        <v>-3.5706588734594975E-4</v>
      </c>
      <c r="I171" s="55">
        <f t="shared" si="57"/>
        <v>-3.6109445461113938E-4</v>
      </c>
      <c r="J171" s="55">
        <f t="shared" si="57"/>
        <v>-3.6512302187632906E-4</v>
      </c>
      <c r="K171" s="55">
        <f t="shared" si="57"/>
        <v>-3.6915158914151884E-4</v>
      </c>
      <c r="L171" s="55">
        <f t="shared" si="57"/>
        <v>-3.7318015640670841E-4</v>
      </c>
      <c r="M171" s="55">
        <f t="shared" si="57"/>
        <v>-3.7720872367189809E-4</v>
      </c>
      <c r="N171" s="55">
        <f t="shared" si="57"/>
        <v>-3.7971248369522579E-4</v>
      </c>
      <c r="O171" s="55">
        <f t="shared" si="57"/>
        <v>-3.8221624371855364E-4</v>
      </c>
      <c r="P171" s="55">
        <f t="shared" si="57"/>
        <v>-3.8472000374188128E-4</v>
      </c>
      <c r="Q171" s="55">
        <f t="shared" si="57"/>
        <v>-3.8722376376520913E-4</v>
      </c>
      <c r="R171" s="55">
        <f t="shared" si="57"/>
        <v>-3.8972752378853672E-4</v>
      </c>
      <c r="S171" s="55">
        <f t="shared" si="57"/>
        <v>-3.9223128381186452E-4</v>
      </c>
      <c r="T171" s="55">
        <f t="shared" si="57"/>
        <v>-3.9473504383519227E-4</v>
      </c>
      <c r="U171" s="55">
        <f t="shared" si="57"/>
        <v>-3.9723880385852001E-4</v>
      </c>
      <c r="V171" s="55">
        <f t="shared" si="57"/>
        <v>-3.9974256388184776E-4</v>
      </c>
      <c r="W171" s="55">
        <f t="shared" si="57"/>
        <v>-4.0224632390517545E-4</v>
      </c>
      <c r="X171" s="55">
        <f t="shared" si="57"/>
        <v>-4.0491629911825155E-4</v>
      </c>
      <c r="Y171" s="55">
        <f t="shared" si="57"/>
        <v>-4.0758627433132782E-4</v>
      </c>
      <c r="Z171" s="55">
        <f t="shared" si="57"/>
        <v>-4.1025624954440398E-4</v>
      </c>
      <c r="AA171" s="55">
        <f t="shared" si="57"/>
        <v>-4.1292622475748024E-4</v>
      </c>
      <c r="AB171" s="55">
        <f t="shared" si="57"/>
        <v>-4.1559619997055635E-4</v>
      </c>
      <c r="AC171" s="270">
        <f t="shared" si="57"/>
        <v>-4.182661751836325E-4</v>
      </c>
      <c r="AD171" s="353">
        <f t="shared" si="30"/>
        <v>-8.6704246239813921E-3</v>
      </c>
    </row>
    <row r="172" spans="1:30" s="110" customFormat="1" ht="12">
      <c r="A172" s="58"/>
      <c r="B172" s="58"/>
      <c r="C172" s="49" t="s">
        <v>40</v>
      </c>
      <c r="D172" s="308">
        <f>D160</f>
        <v>-6200000</v>
      </c>
      <c r="E172" s="217"/>
      <c r="F172" s="255">
        <f>F171*$D$172</f>
        <v>0</v>
      </c>
      <c r="G172" s="255">
        <f t="shared" ref="G172:AC172" si="58">G171*$D$172</f>
        <v>547.20784612517798</v>
      </c>
      <c r="H172" s="255">
        <f t="shared" si="58"/>
        <v>2213.8085015448883</v>
      </c>
      <c r="I172" s="255">
        <f t="shared" si="58"/>
        <v>2238.7856185890641</v>
      </c>
      <c r="J172" s="255">
        <f t="shared" si="58"/>
        <v>2263.76273563324</v>
      </c>
      <c r="K172" s="255">
        <f t="shared" si="58"/>
        <v>2288.7398526774168</v>
      </c>
      <c r="L172" s="255">
        <f t="shared" si="58"/>
        <v>2313.7169697215922</v>
      </c>
      <c r="M172" s="255">
        <f t="shared" si="58"/>
        <v>2338.6940867657681</v>
      </c>
      <c r="N172" s="255">
        <f t="shared" si="58"/>
        <v>2354.2173989103999</v>
      </c>
      <c r="O172" s="255">
        <f t="shared" si="58"/>
        <v>2369.7407110550325</v>
      </c>
      <c r="P172" s="255">
        <f t="shared" si="58"/>
        <v>2385.2640231996638</v>
      </c>
      <c r="Q172" s="255">
        <f t="shared" si="58"/>
        <v>2400.7873353442965</v>
      </c>
      <c r="R172" s="255">
        <f t="shared" si="58"/>
        <v>2416.3106474889278</v>
      </c>
      <c r="S172" s="255">
        <f t="shared" si="58"/>
        <v>2431.83395963356</v>
      </c>
      <c r="T172" s="255">
        <f t="shared" si="58"/>
        <v>2447.3572717781922</v>
      </c>
      <c r="U172" s="255">
        <f t="shared" si="58"/>
        <v>2462.8805839228239</v>
      </c>
      <c r="V172" s="255">
        <f t="shared" si="58"/>
        <v>2478.4038960674561</v>
      </c>
      <c r="W172" s="255">
        <f t="shared" si="58"/>
        <v>2493.9272082120879</v>
      </c>
      <c r="X172" s="255">
        <f t="shared" si="58"/>
        <v>2510.4810545331597</v>
      </c>
      <c r="Y172" s="255">
        <f t="shared" si="58"/>
        <v>2527.0349008542325</v>
      </c>
      <c r="Z172" s="255">
        <f t="shared" si="58"/>
        <v>2543.5887471753044</v>
      </c>
      <c r="AA172" s="255">
        <f t="shared" si="58"/>
        <v>2560.1425934963777</v>
      </c>
      <c r="AB172" s="255">
        <f t="shared" si="58"/>
        <v>2576.6964398174491</v>
      </c>
      <c r="AC172" s="268">
        <f t="shared" si="58"/>
        <v>2593.2502861385215</v>
      </c>
      <c r="AD172" s="346">
        <f t="shared" ref="AD172:AD186" si="59">SUM(F172:AC172)</f>
        <v>53756.63266868463</v>
      </c>
    </row>
    <row r="173" spans="1:30" s="110" customFormat="1" ht="12">
      <c r="A173" s="58"/>
      <c r="B173" s="58"/>
      <c r="C173" s="78" t="s">
        <v>543</v>
      </c>
      <c r="D173" s="210">
        <f>'Mode Operating Assumptions'!$D$185</f>
        <v>8.1339537419145546E-7</v>
      </c>
      <c r="E173" s="217"/>
      <c r="F173" s="55">
        <f>$D173*F$23</f>
        <v>0</v>
      </c>
      <c r="G173" s="55">
        <f t="shared" ref="G173:AC173" si="60">$D173*G$23</f>
        <v>-8.2672653057131902E-3</v>
      </c>
      <c r="H173" s="55">
        <f t="shared" si="60"/>
        <v>-3.3446417751342342E-2</v>
      </c>
      <c r="I173" s="55">
        <f t="shared" si="60"/>
        <v>-3.3823774279831909E-2</v>
      </c>
      <c r="J173" s="55">
        <f t="shared" si="60"/>
        <v>-3.4201130808321482E-2</v>
      </c>
      <c r="K173" s="55">
        <f t="shared" si="60"/>
        <v>-3.457848733681107E-2</v>
      </c>
      <c r="L173" s="55">
        <f t="shared" si="60"/>
        <v>-3.495584386530063E-2</v>
      </c>
      <c r="M173" s="55">
        <f t="shared" si="60"/>
        <v>-3.5333200393790204E-2</v>
      </c>
      <c r="N173" s="55">
        <f t="shared" si="60"/>
        <v>-3.5567727988436049E-2</v>
      </c>
      <c r="O173" s="55">
        <f t="shared" si="60"/>
        <v>-3.5802255583081907E-2</v>
      </c>
      <c r="P173" s="55">
        <f t="shared" si="60"/>
        <v>-3.6036783177727738E-2</v>
      </c>
      <c r="Q173" s="55">
        <f t="shared" si="60"/>
        <v>-3.6271310772373597E-2</v>
      </c>
      <c r="R173" s="55">
        <f t="shared" si="60"/>
        <v>-3.6505838367019428E-2</v>
      </c>
      <c r="S173" s="55">
        <f t="shared" si="60"/>
        <v>-3.6740365961665279E-2</v>
      </c>
      <c r="T173" s="55">
        <f t="shared" si="60"/>
        <v>-3.6974893556311124E-2</v>
      </c>
      <c r="U173" s="55">
        <f t="shared" si="60"/>
        <v>-3.7209421150956969E-2</v>
      </c>
      <c r="V173" s="55">
        <f t="shared" si="60"/>
        <v>-3.744394874560282E-2</v>
      </c>
      <c r="W173" s="55">
        <f t="shared" si="60"/>
        <v>-3.7678476340248658E-2</v>
      </c>
      <c r="X173" s="55">
        <f t="shared" si="60"/>
        <v>-3.792857333782533E-2</v>
      </c>
      <c r="Y173" s="55">
        <f t="shared" si="60"/>
        <v>-3.8178670335402017E-2</v>
      </c>
      <c r="Z173" s="55">
        <f t="shared" si="60"/>
        <v>-3.8428767332978703E-2</v>
      </c>
      <c r="AA173" s="55">
        <f t="shared" si="60"/>
        <v>-3.8678864330555389E-2</v>
      </c>
      <c r="AB173" s="55">
        <f t="shared" si="60"/>
        <v>-3.8928961328132061E-2</v>
      </c>
      <c r="AC173" s="270">
        <f t="shared" si="60"/>
        <v>-3.917905832570874E-2</v>
      </c>
      <c r="AD173" s="353">
        <f t="shared" si="59"/>
        <v>-0.81216003637513667</v>
      </c>
    </row>
    <row r="174" spans="1:30" s="110" customFormat="1" ht="12">
      <c r="A174" s="58"/>
      <c r="B174" s="58"/>
      <c r="C174" s="49" t="s">
        <v>41</v>
      </c>
      <c r="D174" s="308">
        <f>D162</f>
        <v>-291400</v>
      </c>
      <c r="E174" s="217"/>
      <c r="F174" s="255">
        <f>F173*$D$174</f>
        <v>0</v>
      </c>
      <c r="G174" s="255">
        <f t="shared" ref="G174:AC174" si="61">G173*$D$174</f>
        <v>2409.0811100848236</v>
      </c>
      <c r="H174" s="255">
        <f t="shared" si="61"/>
        <v>9746.2861327411592</v>
      </c>
      <c r="I174" s="255">
        <f t="shared" si="61"/>
        <v>9856.2478251430184</v>
      </c>
      <c r="J174" s="255">
        <f t="shared" si="61"/>
        <v>9966.2095175448794</v>
      </c>
      <c r="K174" s="255">
        <f t="shared" si="61"/>
        <v>10076.171209946746</v>
      </c>
      <c r="L174" s="255">
        <f t="shared" si="61"/>
        <v>10186.132902348603</v>
      </c>
      <c r="M174" s="255">
        <f t="shared" si="61"/>
        <v>10296.094594750466</v>
      </c>
      <c r="N174" s="255">
        <f t="shared" si="61"/>
        <v>10364.435935830264</v>
      </c>
      <c r="O174" s="255">
        <f t="shared" si="61"/>
        <v>10432.777276910068</v>
      </c>
      <c r="P174" s="255">
        <f t="shared" si="61"/>
        <v>10501.118617989863</v>
      </c>
      <c r="Q174" s="255">
        <f t="shared" si="61"/>
        <v>10569.459959069665</v>
      </c>
      <c r="R174" s="255">
        <f t="shared" si="61"/>
        <v>10637.801300149462</v>
      </c>
      <c r="S174" s="255">
        <f t="shared" si="61"/>
        <v>10706.142641229262</v>
      </c>
      <c r="T174" s="255">
        <f t="shared" si="61"/>
        <v>10774.483982309062</v>
      </c>
      <c r="U174" s="255">
        <f t="shared" si="61"/>
        <v>10842.825323388861</v>
      </c>
      <c r="V174" s="255">
        <f t="shared" si="61"/>
        <v>10911.166664468661</v>
      </c>
      <c r="W174" s="255">
        <f t="shared" si="61"/>
        <v>10979.50800554846</v>
      </c>
      <c r="X174" s="255">
        <f t="shared" si="61"/>
        <v>11052.386270642301</v>
      </c>
      <c r="Y174" s="255">
        <f t="shared" si="61"/>
        <v>11125.264535736147</v>
      </c>
      <c r="Z174" s="255">
        <f t="shared" si="61"/>
        <v>11198.142800829994</v>
      </c>
      <c r="AA174" s="255">
        <f t="shared" si="61"/>
        <v>11271.02106592384</v>
      </c>
      <c r="AB174" s="255">
        <f t="shared" si="61"/>
        <v>11343.899331017683</v>
      </c>
      <c r="AC174" s="268">
        <f t="shared" si="61"/>
        <v>11416.777596111528</v>
      </c>
      <c r="AD174" s="346">
        <f t="shared" si="59"/>
        <v>236663.43459971482</v>
      </c>
    </row>
    <row r="175" spans="1:30" s="110" customFormat="1" ht="12">
      <c r="A175" s="58"/>
      <c r="B175" s="58"/>
      <c r="C175" s="78" t="s">
        <v>554</v>
      </c>
      <c r="D175" s="210">
        <f>'Mode Operating Assumptions'!$D$183</f>
        <v>1.8640215942009768E-6</v>
      </c>
      <c r="E175" s="217"/>
      <c r="F175" s="55">
        <f>$D175*F$23</f>
        <v>0</v>
      </c>
      <c r="G175" s="55">
        <f t="shared" ref="G175:AC175" si="62">$D175*G$23</f>
        <v>-1.8945720056690003E-2</v>
      </c>
      <c r="H175" s="55">
        <f t="shared" si="62"/>
        <v>-7.6647651210387122E-2</v>
      </c>
      <c r="I175" s="55">
        <f t="shared" si="62"/>
        <v>-7.7512422194014219E-2</v>
      </c>
      <c r="J175" s="55">
        <f t="shared" si="62"/>
        <v>-7.8377193177641316E-2</v>
      </c>
      <c r="K175" s="55">
        <f t="shared" si="62"/>
        <v>-7.9241964161268455E-2</v>
      </c>
      <c r="L175" s="55">
        <f t="shared" si="62"/>
        <v>-8.0106735144895524E-2</v>
      </c>
      <c r="M175" s="55">
        <f t="shared" si="62"/>
        <v>-8.0971506128522636E-2</v>
      </c>
      <c r="N175" s="55">
        <f t="shared" si="62"/>
        <v>-8.1508962468608684E-2</v>
      </c>
      <c r="O175" s="55">
        <f t="shared" si="62"/>
        <v>-8.2046418808694774E-2</v>
      </c>
      <c r="P175" s="55">
        <f t="shared" si="62"/>
        <v>-8.2583875148780808E-2</v>
      </c>
      <c r="Q175" s="55">
        <f t="shared" si="62"/>
        <v>-8.3121331488866898E-2</v>
      </c>
      <c r="R175" s="55">
        <f t="shared" si="62"/>
        <v>-8.3658787828952919E-2</v>
      </c>
      <c r="S175" s="55">
        <f t="shared" si="62"/>
        <v>-8.4196244169038981E-2</v>
      </c>
      <c r="T175" s="55">
        <f t="shared" si="62"/>
        <v>-8.4733700509125043E-2</v>
      </c>
      <c r="U175" s="55">
        <f t="shared" si="62"/>
        <v>-8.5271156849211105E-2</v>
      </c>
      <c r="V175" s="55">
        <f t="shared" si="62"/>
        <v>-8.5808613189297167E-2</v>
      </c>
      <c r="W175" s="55">
        <f t="shared" si="62"/>
        <v>-8.6346069529383215E-2</v>
      </c>
      <c r="X175" s="55">
        <f t="shared" si="62"/>
        <v>-8.6919205569886471E-2</v>
      </c>
      <c r="Y175" s="55">
        <f t="shared" si="62"/>
        <v>-8.749234161038974E-2</v>
      </c>
      <c r="Z175" s="55">
        <f t="shared" si="62"/>
        <v>-8.8065477650893009E-2</v>
      </c>
      <c r="AA175" s="55">
        <f t="shared" si="62"/>
        <v>-8.8638613691396292E-2</v>
      </c>
      <c r="AB175" s="55">
        <f t="shared" si="62"/>
        <v>-8.9211749731899548E-2</v>
      </c>
      <c r="AC175" s="270">
        <f t="shared" si="62"/>
        <v>-8.9784885772402789E-2</v>
      </c>
      <c r="AD175" s="353">
        <f t="shared" si="59"/>
        <v>-1.8611906260902467</v>
      </c>
    </row>
    <row r="176" spans="1:30" s="110" customFormat="1" ht="12">
      <c r="A176" s="58"/>
      <c r="B176" s="58"/>
      <c r="C176" s="49" t="s">
        <v>530</v>
      </c>
      <c r="D176" s="308">
        <f>-'Mode Operating Assumptions'!C172</f>
        <v>-3285</v>
      </c>
      <c r="E176" s="217"/>
      <c r="F176" s="255">
        <f>F175*$D$176</f>
        <v>0</v>
      </c>
      <c r="G176" s="255">
        <f t="shared" ref="G176:AC176" si="63">G175*$D$176</f>
        <v>62.236690386226655</v>
      </c>
      <c r="H176" s="255">
        <f t="shared" si="63"/>
        <v>251.78753422612169</v>
      </c>
      <c r="I176" s="255">
        <f t="shared" si="63"/>
        <v>254.62830690733671</v>
      </c>
      <c r="J176" s="255">
        <f t="shared" si="63"/>
        <v>257.46907958855172</v>
      </c>
      <c r="K176" s="255">
        <f t="shared" si="63"/>
        <v>260.30985226976685</v>
      </c>
      <c r="L176" s="255">
        <f t="shared" si="63"/>
        <v>263.15062495098181</v>
      </c>
      <c r="M176" s="255">
        <f t="shared" si="63"/>
        <v>265.99139763219688</v>
      </c>
      <c r="N176" s="255">
        <f t="shared" si="63"/>
        <v>267.75694170937953</v>
      </c>
      <c r="O176" s="255">
        <f t="shared" si="63"/>
        <v>269.52248578656236</v>
      </c>
      <c r="P176" s="255">
        <f t="shared" si="63"/>
        <v>271.28802986374495</v>
      </c>
      <c r="Q176" s="255">
        <f t="shared" si="63"/>
        <v>273.05357394092778</v>
      </c>
      <c r="R176" s="255">
        <f t="shared" si="63"/>
        <v>274.81911801811032</v>
      </c>
      <c r="S176" s="255">
        <f t="shared" si="63"/>
        <v>276.58466209529303</v>
      </c>
      <c r="T176" s="255">
        <f t="shared" si="63"/>
        <v>278.35020617247579</v>
      </c>
      <c r="U176" s="255">
        <f t="shared" si="63"/>
        <v>280.1157502496585</v>
      </c>
      <c r="V176" s="255">
        <f t="shared" si="63"/>
        <v>281.88129432684121</v>
      </c>
      <c r="W176" s="255">
        <f t="shared" si="63"/>
        <v>283.64683840402387</v>
      </c>
      <c r="X176" s="255">
        <f t="shared" si="63"/>
        <v>285.52959029707705</v>
      </c>
      <c r="Y176" s="255">
        <f t="shared" si="63"/>
        <v>287.41234219013029</v>
      </c>
      <c r="Z176" s="255">
        <f t="shared" si="63"/>
        <v>289.29509408318353</v>
      </c>
      <c r="AA176" s="255">
        <f t="shared" si="63"/>
        <v>291.17784597623682</v>
      </c>
      <c r="AB176" s="255">
        <f t="shared" si="63"/>
        <v>293.06059786929001</v>
      </c>
      <c r="AC176" s="268">
        <f t="shared" si="63"/>
        <v>294.94334976234319</v>
      </c>
      <c r="AD176" s="346">
        <f t="shared" si="59"/>
        <v>6114.011206706462</v>
      </c>
    </row>
    <row r="177" spans="1:30" s="110" customFormat="1" ht="12">
      <c r="A177" s="58"/>
      <c r="B177" s="58"/>
      <c r="D177" s="308"/>
      <c r="E177" s="217"/>
      <c r="F177" s="255"/>
      <c r="G177" s="255"/>
      <c r="H177" s="255"/>
      <c r="I177" s="255"/>
      <c r="J177" s="255"/>
      <c r="K177" s="255"/>
      <c r="L177" s="255"/>
      <c r="M177" s="255"/>
      <c r="N177" s="255"/>
      <c r="O177" s="255"/>
      <c r="P177" s="255"/>
      <c r="Q177" s="255"/>
      <c r="R177" s="255"/>
      <c r="S177" s="255"/>
      <c r="T177" s="255"/>
      <c r="U177" s="255"/>
      <c r="V177" s="255"/>
      <c r="W177" s="255"/>
      <c r="X177" s="255"/>
      <c r="Y177" s="255"/>
      <c r="Z177" s="255"/>
      <c r="AA177" s="255"/>
      <c r="AB177" s="255"/>
      <c r="AC177" s="268"/>
      <c r="AD177" s="346"/>
    </row>
    <row r="178" spans="1:30" s="5" customFormat="1" ht="12">
      <c r="A178" s="58"/>
      <c r="B178" s="58"/>
      <c r="C178" s="295" t="s">
        <v>520</v>
      </c>
      <c r="D178" s="212"/>
      <c r="E178" s="220"/>
      <c r="F178" s="83">
        <f>F166+F168+F147+F149+F153+F155+F160+F162+F172+F174+F176</f>
        <v>0</v>
      </c>
      <c r="G178" s="83">
        <f t="shared" ref="G178:AC178" si="64">G166+G168+G147+G149+G153+G155+G160+G162+G172+G174+G176</f>
        <v>12419.740161447531</v>
      </c>
      <c r="H178" s="83">
        <f t="shared" si="64"/>
        <v>50245.855484501502</v>
      </c>
      <c r="I178" s="83">
        <f t="shared" si="64"/>
        <v>50812.750323212866</v>
      </c>
      <c r="J178" s="83">
        <f t="shared" si="64"/>
        <v>51379.645161924222</v>
      </c>
      <c r="K178" s="83">
        <f t="shared" si="64"/>
        <v>51946.540000635621</v>
      </c>
      <c r="L178" s="83">
        <f t="shared" si="64"/>
        <v>52513.43483934697</v>
      </c>
      <c r="M178" s="83">
        <f t="shared" si="64"/>
        <v>53080.329678058333</v>
      </c>
      <c r="N178" s="83">
        <f t="shared" si="64"/>
        <v>53432.655589769158</v>
      </c>
      <c r="O178" s="83">
        <f t="shared" si="64"/>
        <v>53784.981501480012</v>
      </c>
      <c r="P178" s="83">
        <f t="shared" si="64"/>
        <v>54137.307413190822</v>
      </c>
      <c r="Q178" s="83">
        <f t="shared" si="64"/>
        <v>54489.633324901653</v>
      </c>
      <c r="R178" s="83">
        <f t="shared" si="64"/>
        <v>54841.959236612463</v>
      </c>
      <c r="S178" s="83">
        <f t="shared" si="64"/>
        <v>55194.28514832331</v>
      </c>
      <c r="T178" s="83">
        <f t="shared" si="64"/>
        <v>55546.611060034142</v>
      </c>
      <c r="U178" s="83">
        <f t="shared" si="64"/>
        <v>55898.936971744966</v>
      </c>
      <c r="V178" s="83">
        <f t="shared" si="64"/>
        <v>56251.262883455805</v>
      </c>
      <c r="W178" s="83">
        <f t="shared" si="64"/>
        <v>56603.588795166615</v>
      </c>
      <c r="X178" s="83">
        <f t="shared" si="64"/>
        <v>56979.30429602442</v>
      </c>
      <c r="Y178" s="83">
        <f t="shared" si="64"/>
        <v>57355.019796882269</v>
      </c>
      <c r="Z178" s="83">
        <f t="shared" si="64"/>
        <v>57730.735297740081</v>
      </c>
      <c r="AA178" s="83">
        <f t="shared" si="64"/>
        <v>58106.450798597922</v>
      </c>
      <c r="AB178" s="83">
        <f t="shared" si="64"/>
        <v>58482.166299455734</v>
      </c>
      <c r="AC178" s="272">
        <f t="shared" si="64"/>
        <v>58857.881800313568</v>
      </c>
      <c r="AD178" s="355">
        <f t="shared" si="59"/>
        <v>1220091.07586282</v>
      </c>
    </row>
    <row r="179" spans="1:30" s="110" customFormat="1" ht="12">
      <c r="A179" s="107"/>
      <c r="B179" s="58"/>
      <c r="C179" s="108"/>
      <c r="D179" s="208"/>
      <c r="E179" s="216"/>
      <c r="F179" s="109"/>
      <c r="G179" s="109"/>
      <c r="H179" s="109"/>
      <c r="I179" s="109"/>
      <c r="J179" s="109"/>
      <c r="K179" s="109"/>
      <c r="L179" s="109"/>
      <c r="M179" s="109"/>
      <c r="N179" s="109"/>
      <c r="O179" s="109"/>
      <c r="P179" s="109"/>
      <c r="Q179" s="109"/>
      <c r="R179" s="109"/>
      <c r="S179" s="109"/>
      <c r="T179" s="109"/>
      <c r="U179" s="109"/>
      <c r="V179" s="109"/>
      <c r="W179" s="109"/>
      <c r="X179" s="109"/>
      <c r="Y179" s="109"/>
      <c r="Z179" s="109"/>
      <c r="AC179" s="262"/>
      <c r="AD179" s="337"/>
    </row>
    <row r="180" spans="1:30" s="93" customFormat="1" ht="12">
      <c r="A180" s="93" t="s">
        <v>347</v>
      </c>
      <c r="B180" s="58"/>
      <c r="D180" s="211"/>
      <c r="E180" s="222"/>
      <c r="H180" s="92"/>
      <c r="I180" s="92"/>
      <c r="J180" s="92"/>
      <c r="K180" s="92"/>
      <c r="L180" s="92"/>
      <c r="M180" s="92"/>
      <c r="N180" s="92"/>
      <c r="O180" s="92"/>
      <c r="P180" s="92"/>
      <c r="Q180" s="92"/>
      <c r="R180" s="92"/>
      <c r="S180" s="92"/>
      <c r="T180" s="92"/>
      <c r="U180" s="92"/>
      <c r="V180" s="92"/>
      <c r="W180" s="92"/>
      <c r="X180" s="92"/>
      <c r="Y180" s="92"/>
      <c r="AC180" s="273"/>
      <c r="AD180" s="361"/>
    </row>
    <row r="181" spans="1:30" s="93" customFormat="1" ht="12">
      <c r="B181" s="58"/>
      <c r="D181" s="211"/>
      <c r="E181" s="222"/>
      <c r="H181" s="106"/>
      <c r="I181" s="106"/>
      <c r="J181" s="106"/>
      <c r="K181" s="106"/>
      <c r="L181" s="106"/>
      <c r="M181" s="106"/>
      <c r="N181" s="106"/>
      <c r="O181" s="106"/>
      <c r="P181" s="106"/>
      <c r="Q181" s="106"/>
      <c r="R181" s="106"/>
      <c r="S181" s="106"/>
      <c r="T181" s="106"/>
      <c r="U181" s="106"/>
      <c r="V181" s="106"/>
      <c r="W181" s="106"/>
      <c r="X181" s="106"/>
      <c r="Y181" s="106"/>
      <c r="AC181" s="273"/>
      <c r="AD181" s="361"/>
    </row>
    <row r="182" spans="1:30" s="110" customFormat="1" ht="12">
      <c r="A182" s="91"/>
      <c r="B182" s="58"/>
      <c r="C182" s="291" t="s">
        <v>502</v>
      </c>
      <c r="D182" s="211"/>
      <c r="E182" s="290" t="s">
        <v>583</v>
      </c>
      <c r="F182" s="255">
        <f t="shared" ref="F182:AC182" si="65">F5+F6+F39+F51+F58+F65+F78+F85+F102+F115+F178+F118+F135+F140</f>
        <v>-37500</v>
      </c>
      <c r="G182" s="255">
        <f t="shared" si="65"/>
        <v>-634076.01796943601</v>
      </c>
      <c r="H182" s="255">
        <f t="shared" si="65"/>
        <v>155870.89563583912</v>
      </c>
      <c r="I182" s="255">
        <f t="shared" si="65"/>
        <v>157042.10573941152</v>
      </c>
      <c r="J182" s="255">
        <f t="shared" si="65"/>
        <v>158299.64358733583</v>
      </c>
      <c r="K182" s="255">
        <f t="shared" si="65"/>
        <v>159485.6778343278</v>
      </c>
      <c r="L182" s="255">
        <f t="shared" si="65"/>
        <v>160633.09157299777</v>
      </c>
      <c r="M182" s="255">
        <f t="shared" si="65"/>
        <v>161737.9559994337</v>
      </c>
      <c r="N182" s="255">
        <f t="shared" si="65"/>
        <v>162255.37853095675</v>
      </c>
      <c r="O182" s="255">
        <f t="shared" si="65"/>
        <v>162861.24286786499</v>
      </c>
      <c r="P182" s="255">
        <f t="shared" si="65"/>
        <v>163943.4506361892</v>
      </c>
      <c r="Q182" s="255">
        <f t="shared" si="65"/>
        <v>165024.68742192231</v>
      </c>
      <c r="R182" s="255">
        <f t="shared" si="65"/>
        <v>166108.42149077976</v>
      </c>
      <c r="S182" s="255">
        <f t="shared" si="65"/>
        <v>167191.24763355259</v>
      </c>
      <c r="T182" s="255">
        <f t="shared" si="65"/>
        <v>168276.58878918662</v>
      </c>
      <c r="U182" s="255">
        <f t="shared" si="65"/>
        <v>169361.08772642637</v>
      </c>
      <c r="V182" s="255">
        <f t="shared" si="65"/>
        <v>170448.11975831294</v>
      </c>
      <c r="W182" s="255">
        <f t="shared" si="65"/>
        <v>171534.377984953</v>
      </c>
      <c r="X182" s="255">
        <f t="shared" si="65"/>
        <v>172692.62328401837</v>
      </c>
      <c r="Y182" s="255">
        <f t="shared" si="65"/>
        <v>173853.39120208734</v>
      </c>
      <c r="Z182" s="255">
        <f t="shared" si="65"/>
        <v>175135.29331640224</v>
      </c>
      <c r="AA182" s="255">
        <f t="shared" si="65"/>
        <v>176421.72199756966</v>
      </c>
      <c r="AB182" s="255">
        <f t="shared" si="65"/>
        <v>177709.43721993221</v>
      </c>
      <c r="AC182" s="268">
        <f t="shared" si="65"/>
        <v>179001.76292510968</v>
      </c>
      <c r="AD182" s="346">
        <f t="shared" si="59"/>
        <v>3003312.1851851745</v>
      </c>
    </row>
    <row r="183" spans="1:30" s="93" customFormat="1" ht="12">
      <c r="A183" s="91"/>
      <c r="B183" s="58"/>
      <c r="C183" s="70" t="s">
        <v>180</v>
      </c>
      <c r="D183" s="211"/>
      <c r="E183" s="218"/>
      <c r="F183" s="106">
        <f>1/1.03</f>
        <v>0.970873786407767</v>
      </c>
      <c r="G183" s="106">
        <f>F183/1.03</f>
        <v>0.94259590913375435</v>
      </c>
      <c r="H183" s="106">
        <f t="shared" ref="H183:AC183" si="66">G183/1.03</f>
        <v>0.9151416593531595</v>
      </c>
      <c r="I183" s="106">
        <f t="shared" si="66"/>
        <v>0.88848704791568878</v>
      </c>
      <c r="J183" s="106">
        <f t="shared" si="66"/>
        <v>0.86260878438416388</v>
      </c>
      <c r="K183" s="106">
        <f t="shared" si="66"/>
        <v>0.83748425668365423</v>
      </c>
      <c r="L183" s="106">
        <f t="shared" si="66"/>
        <v>0.81309151134335356</v>
      </c>
      <c r="M183" s="106">
        <f t="shared" si="66"/>
        <v>0.7894092343139355</v>
      </c>
      <c r="N183" s="106">
        <f t="shared" si="66"/>
        <v>0.76641673234362673</v>
      </c>
      <c r="O183" s="106">
        <f t="shared" si="66"/>
        <v>0.74409391489672494</v>
      </c>
      <c r="P183" s="106">
        <f t="shared" si="66"/>
        <v>0.7224212765987621</v>
      </c>
      <c r="Q183" s="106">
        <f t="shared" si="66"/>
        <v>0.70137988019297293</v>
      </c>
      <c r="R183" s="106">
        <f t="shared" si="66"/>
        <v>0.68095133999317758</v>
      </c>
      <c r="S183" s="106">
        <f t="shared" si="66"/>
        <v>0.66111780581861901</v>
      </c>
      <c r="T183" s="106">
        <f t="shared" si="66"/>
        <v>0.64186194739671742</v>
      </c>
      <c r="U183" s="106">
        <f t="shared" si="66"/>
        <v>0.62316693922011401</v>
      </c>
      <c r="V183" s="106">
        <f t="shared" si="66"/>
        <v>0.60501644584477088</v>
      </c>
      <c r="W183" s="106">
        <f t="shared" si="66"/>
        <v>0.58739460761628237</v>
      </c>
      <c r="X183" s="106">
        <f t="shared" si="66"/>
        <v>0.57028602681192464</v>
      </c>
      <c r="Y183" s="106">
        <f t="shared" si="66"/>
        <v>0.55367575418633463</v>
      </c>
      <c r="Z183" s="106">
        <f t="shared" si="66"/>
        <v>0.53754927590906276</v>
      </c>
      <c r="AA183" s="106">
        <f t="shared" si="66"/>
        <v>0.52189250088258521</v>
      </c>
      <c r="AB183" s="106">
        <f t="shared" si="66"/>
        <v>0.50669174842969433</v>
      </c>
      <c r="AC183" s="274">
        <f t="shared" si="66"/>
        <v>0.49193373633950904</v>
      </c>
      <c r="AD183" s="362"/>
    </row>
    <row r="184" spans="1:30" s="110" customFormat="1" ht="12">
      <c r="A184" s="107"/>
      <c r="B184" s="58"/>
      <c r="C184" s="108" t="s">
        <v>178</v>
      </c>
      <c r="D184" s="208"/>
      <c r="E184" s="216">
        <f>SUM(F184:AC184)</f>
        <v>1856351.6249719667</v>
      </c>
      <c r="F184" s="109">
        <f>F182*F183</f>
        <v>-36407.76699029126</v>
      </c>
      <c r="G184" s="109">
        <f t="shared" ref="G184:AC184" si="67">G182*G183</f>
        <v>-597677.4606178113</v>
      </c>
      <c r="H184" s="109">
        <f t="shared" si="67"/>
        <v>142643.95007704495</v>
      </c>
      <c r="I184" s="109">
        <f t="shared" si="67"/>
        <v>139529.8769268732</v>
      </c>
      <c r="J184" s="109">
        <f t="shared" si="67"/>
        <v>136550.66312331817</v>
      </c>
      <c r="K184" s="109">
        <f t="shared" si="67"/>
        <v>133566.74435277077</v>
      </c>
      <c r="L184" s="109">
        <f t="shared" si="67"/>
        <v>130609.40319884407</v>
      </c>
      <c r="M184" s="109">
        <f t="shared" si="67"/>
        <v>127677.43600501395</v>
      </c>
      <c r="N184" s="109">
        <f t="shared" si="67"/>
        <v>124355.23701887412</v>
      </c>
      <c r="O184" s="109">
        <f t="shared" si="67"/>
        <v>121184.05979049599</v>
      </c>
      <c r="P184" s="109">
        <f t="shared" si="67"/>
        <v>118436.23689860194</v>
      </c>
      <c r="Q184" s="109">
        <f t="shared" si="67"/>
        <v>115744.99549287067</v>
      </c>
      <c r="R184" s="109">
        <f t="shared" si="67"/>
        <v>113111.75219829801</v>
      </c>
      <c r="S184" s="109">
        <f t="shared" si="67"/>
        <v>110533.11078757167</v>
      </c>
      <c r="T184" s="109">
        <f t="shared" si="67"/>
        <v>108010.33898150396</v>
      </c>
      <c r="U184" s="109">
        <f t="shared" si="67"/>
        <v>105540.23066146634</v>
      </c>
      <c r="V184" s="109">
        <f t="shared" si="67"/>
        <v>103123.91561709836</v>
      </c>
      <c r="W184" s="109">
        <f t="shared" si="67"/>
        <v>100758.36864917453</v>
      </c>
      <c r="X184" s="109">
        <f t="shared" si="67"/>
        <v>98484.189992371306</v>
      </c>
      <c r="Y184" s="109">
        <f t="shared" si="67"/>
        <v>96258.407491667589</v>
      </c>
      <c r="Z184" s="109">
        <f t="shared" si="67"/>
        <v>94143.850108353348</v>
      </c>
      <c r="AA184" s="109">
        <f t="shared" si="67"/>
        <v>92073.173703323831</v>
      </c>
      <c r="AB184" s="109">
        <f t="shared" si="67"/>
        <v>90043.905457424451</v>
      </c>
      <c r="AC184" s="392">
        <f t="shared" si="67"/>
        <v>88057.006047108211</v>
      </c>
      <c r="AD184" s="363">
        <f t="shared" si="59"/>
        <v>1856351.6249719667</v>
      </c>
    </row>
    <row r="185" spans="1:30" s="110" customFormat="1" ht="12">
      <c r="A185" s="91"/>
      <c r="B185" s="58"/>
      <c r="C185" s="70" t="s">
        <v>181</v>
      </c>
      <c r="D185" s="211"/>
      <c r="E185" s="218"/>
      <c r="F185" s="106">
        <f>1/1.07</f>
        <v>0.93457943925233644</v>
      </c>
      <c r="G185" s="106">
        <f>F185/1.07</f>
        <v>0.87343872827321156</v>
      </c>
      <c r="H185" s="106">
        <f t="shared" ref="H185:AC185" si="68">G185/1.07</f>
        <v>0.81629787689085187</v>
      </c>
      <c r="I185" s="106">
        <f t="shared" si="68"/>
        <v>0.76289521204752508</v>
      </c>
      <c r="J185" s="106">
        <f t="shared" si="68"/>
        <v>0.71298617948366827</v>
      </c>
      <c r="K185" s="106">
        <f t="shared" si="68"/>
        <v>0.66634222381651231</v>
      </c>
      <c r="L185" s="106">
        <f t="shared" si="68"/>
        <v>0.62274974188459087</v>
      </c>
      <c r="M185" s="106">
        <f t="shared" si="68"/>
        <v>0.58200910456503818</v>
      </c>
      <c r="N185" s="106">
        <f t="shared" si="68"/>
        <v>0.54393374258414784</v>
      </c>
      <c r="O185" s="106">
        <f t="shared" si="68"/>
        <v>0.50834929213471758</v>
      </c>
      <c r="P185" s="106">
        <f t="shared" si="68"/>
        <v>0.4750927963875865</v>
      </c>
      <c r="Q185" s="106">
        <f t="shared" si="68"/>
        <v>0.444011959240735</v>
      </c>
      <c r="R185" s="106">
        <f t="shared" si="68"/>
        <v>0.41496444788853737</v>
      </c>
      <c r="S185" s="106">
        <f t="shared" si="68"/>
        <v>0.38781724101732462</v>
      </c>
      <c r="T185" s="106">
        <f t="shared" si="68"/>
        <v>0.36244601964235945</v>
      </c>
      <c r="U185" s="106">
        <f t="shared" si="68"/>
        <v>0.33873459779659759</v>
      </c>
      <c r="V185" s="106">
        <f t="shared" si="68"/>
        <v>0.3165743904641099</v>
      </c>
      <c r="W185" s="106">
        <f t="shared" si="68"/>
        <v>0.29586391632159803</v>
      </c>
      <c r="X185" s="106">
        <f t="shared" si="68"/>
        <v>0.27650833301083927</v>
      </c>
      <c r="Y185" s="106">
        <f t="shared" si="68"/>
        <v>0.25841900281386848</v>
      </c>
      <c r="Z185" s="106">
        <f t="shared" si="68"/>
        <v>0.24151308674193314</v>
      </c>
      <c r="AA185" s="106">
        <f t="shared" si="68"/>
        <v>0.22571316517937676</v>
      </c>
      <c r="AB185" s="106">
        <f t="shared" si="68"/>
        <v>0.21094688334521192</v>
      </c>
      <c r="AC185" s="274">
        <f t="shared" si="68"/>
        <v>0.19714661994879618</v>
      </c>
      <c r="AD185" s="362"/>
    </row>
    <row r="186" spans="1:30" s="110" customFormat="1" ht="12">
      <c r="A186" s="107"/>
      <c r="B186" s="58"/>
      <c r="C186" s="108" t="s">
        <v>179</v>
      </c>
      <c r="D186" s="208"/>
      <c r="E186" s="216">
        <f>SUM(F186:AC186)</f>
        <v>998094.71500964893</v>
      </c>
      <c r="F186" s="109">
        <f>F182*F185</f>
        <v>-35046.728971962613</v>
      </c>
      <c r="G186" s="109">
        <f t="shared" ref="G186:AC186" si="69">G182*G185</f>
        <v>-553826.55076376628</v>
      </c>
      <c r="H186" s="109">
        <f t="shared" si="69"/>
        <v>127237.08117661101</v>
      </c>
      <c r="I186" s="109">
        <f t="shared" si="69"/>
        <v>119806.67055845821</v>
      </c>
      <c r="J186" s="109">
        <f t="shared" si="69"/>
        <v>112865.45809496094</v>
      </c>
      <c r="K186" s="109">
        <f t="shared" si="69"/>
        <v>106272.04123500983</v>
      </c>
      <c r="L186" s="109">
        <f t="shared" si="69"/>
        <v>100034.21631520821</v>
      </c>
      <c r="M186" s="109">
        <f t="shared" si="69"/>
        <v>94132.962945409949</v>
      </c>
      <c r="N186" s="109">
        <f t="shared" si="69"/>
        <v>88256.175298750895</v>
      </c>
      <c r="O186" s="109">
        <f t="shared" si="69"/>
        <v>82790.39752805949</v>
      </c>
      <c r="P186" s="109">
        <f t="shared" si="69"/>
        <v>77888.352412177381</v>
      </c>
      <c r="Q186" s="109">
        <f t="shared" si="69"/>
        <v>73272.934785297606</v>
      </c>
      <c r="R186" s="109">
        <f t="shared" si="69"/>
        <v>68929.089413557871</v>
      </c>
      <c r="S186" s="109">
        <f t="shared" si="69"/>
        <v>64839.648379488666</v>
      </c>
      <c r="T186" s="109">
        <f t="shared" si="69"/>
        <v>60991.179805634776</v>
      </c>
      <c r="U186" s="109">
        <f t="shared" si="69"/>
        <v>57368.45993340532</v>
      </c>
      <c r="V186" s="109">
        <f t="shared" si="69"/>
        <v>53959.509618241529</v>
      </c>
      <c r="W186" s="109">
        <f t="shared" si="69"/>
        <v>50750.832854417502</v>
      </c>
      <c r="X186" s="109">
        <f t="shared" si="69"/>
        <v>47750.949387532768</v>
      </c>
      <c r="Y186" s="109">
        <f t="shared" si="69"/>
        <v>44927.019990252789</v>
      </c>
      <c r="Z186" s="109">
        <f t="shared" si="69"/>
        <v>42297.46528629816</v>
      </c>
      <c r="AA186" s="109">
        <f t="shared" si="69"/>
        <v>39820.705278467525</v>
      </c>
      <c r="AB186" s="109">
        <f t="shared" si="69"/>
        <v>37487.251922576303</v>
      </c>
      <c r="AC186" s="392">
        <f t="shared" si="69"/>
        <v>35289.592525561115</v>
      </c>
      <c r="AD186" s="363">
        <f t="shared" si="59"/>
        <v>998094.71500964893</v>
      </c>
    </row>
    <row r="187" spans="1:30" s="53" customFormat="1" ht="12">
      <c r="A187" s="107"/>
      <c r="B187" s="58"/>
      <c r="C187" s="108"/>
      <c r="D187" s="208"/>
      <c r="E187" s="216"/>
      <c r="F187" s="109"/>
      <c r="G187" s="109"/>
      <c r="AC187" s="263"/>
      <c r="AD187" s="338"/>
    </row>
    <row r="188" spans="1:30" s="53" customFormat="1" ht="12">
      <c r="A188" s="45"/>
      <c r="B188" s="58"/>
      <c r="C188" s="282" t="s">
        <v>185</v>
      </c>
      <c r="D188" s="213"/>
      <c r="E188" s="303">
        <f>IRR(F182:AC182)</f>
        <v>0.23327926545258487</v>
      </c>
      <c r="F188" s="45"/>
      <c r="G188" s="57"/>
      <c r="AC188" s="263"/>
      <c r="AD188" s="338"/>
    </row>
    <row r="189" spans="1:30" s="113" customFormat="1" ht="12">
      <c r="A189" s="111"/>
      <c r="B189" s="58"/>
      <c r="C189" s="115"/>
      <c r="D189" s="117"/>
      <c r="E189" s="111"/>
      <c r="F189" s="112"/>
      <c r="G189" s="112"/>
      <c r="H189" s="112"/>
      <c r="I189" s="112"/>
      <c r="J189" s="112"/>
      <c r="K189" s="112"/>
      <c r="L189" s="112"/>
      <c r="M189" s="112"/>
      <c r="N189" s="112"/>
      <c r="O189" s="112"/>
      <c r="P189" s="112"/>
      <c r="Q189" s="112"/>
      <c r="R189" s="112"/>
      <c r="S189" s="112"/>
      <c r="T189" s="112"/>
      <c r="U189" s="112"/>
      <c r="V189" s="112"/>
      <c r="W189" s="112"/>
      <c r="X189" s="112"/>
      <c r="Y189" s="112"/>
      <c r="AC189" s="275"/>
      <c r="AD189" s="364"/>
    </row>
    <row r="190" spans="1:30" s="113" customFormat="1" ht="12">
      <c r="A190" s="111"/>
      <c r="B190" s="58"/>
      <c r="C190" s="118"/>
      <c r="D190" s="117"/>
      <c r="E190" s="111"/>
      <c r="F190" s="111"/>
      <c r="G190" s="114"/>
      <c r="AC190" s="275"/>
      <c r="AD190" s="364"/>
    </row>
    <row r="191" spans="1:30" s="113" customFormat="1" ht="12">
      <c r="A191" s="111"/>
      <c r="B191" s="111"/>
      <c r="C191" s="115"/>
      <c r="D191" s="119"/>
      <c r="E191" s="120"/>
      <c r="F191" s="120"/>
      <c r="G191" s="116"/>
      <c r="H191" s="116"/>
      <c r="I191" s="116"/>
      <c r="J191" s="116"/>
      <c r="K191" s="116"/>
      <c r="L191" s="116"/>
      <c r="M191" s="116"/>
      <c r="N191" s="116"/>
      <c r="O191" s="116"/>
      <c r="P191" s="116"/>
      <c r="Q191" s="116"/>
      <c r="R191" s="116"/>
      <c r="S191" s="116"/>
      <c r="T191" s="116"/>
      <c r="U191" s="116"/>
      <c r="V191" s="116"/>
      <c r="W191" s="116"/>
      <c r="X191" s="116"/>
      <c r="Y191" s="116"/>
      <c r="AC191" s="275"/>
      <c r="AD191" s="364"/>
    </row>
    <row r="192" spans="1:30">
      <c r="A192" s="25"/>
      <c r="B192" s="25"/>
      <c r="C192" s="52"/>
      <c r="D192" s="42"/>
      <c r="E192" s="42"/>
      <c r="F192" s="42"/>
    </row>
    <row r="193" spans="1:53">
      <c r="A193" s="25"/>
      <c r="B193" s="25"/>
      <c r="C193" s="52"/>
      <c r="D193" s="42"/>
      <c r="E193" s="42"/>
      <c r="F193" s="42"/>
    </row>
    <row r="194" spans="1:53">
      <c r="A194" s="25"/>
      <c r="B194" s="25"/>
      <c r="C194" s="52"/>
      <c r="D194" s="42"/>
      <c r="E194" s="42"/>
      <c r="F194" s="42"/>
    </row>
    <row r="195" spans="1:53" ht="15.75">
      <c r="A195" s="25"/>
      <c r="B195" s="25"/>
      <c r="C195" s="401" t="s">
        <v>1</v>
      </c>
      <c r="D195" s="418">
        <f>SUM(D196:D199)</f>
        <v>1102.6940190120865</v>
      </c>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row>
    <row r="196" spans="1:53" ht="15.75">
      <c r="A196" s="25"/>
      <c r="B196" s="25"/>
      <c r="C196" s="403" t="s">
        <v>196</v>
      </c>
      <c r="D196" s="416">
        <f>-SUM(F196:AC196)/1000</f>
        <v>710.25</v>
      </c>
      <c r="F196" s="422">
        <f>F6</f>
        <v>-37500</v>
      </c>
      <c r="G196" s="422">
        <f t="shared" ref="G196:AC196" si="70">G6</f>
        <v>-672750</v>
      </c>
      <c r="H196" s="422">
        <f t="shared" si="70"/>
        <v>0</v>
      </c>
      <c r="I196" s="422">
        <f t="shared" si="70"/>
        <v>0</v>
      </c>
      <c r="J196" s="422">
        <f t="shared" si="70"/>
        <v>0</v>
      </c>
      <c r="K196" s="422">
        <f t="shared" si="70"/>
        <v>0</v>
      </c>
      <c r="L196" s="422">
        <f t="shared" si="70"/>
        <v>0</v>
      </c>
      <c r="M196" s="422">
        <f t="shared" si="70"/>
        <v>0</v>
      </c>
      <c r="N196" s="422">
        <f t="shared" si="70"/>
        <v>0</v>
      </c>
      <c r="O196" s="422">
        <f t="shared" si="70"/>
        <v>0</v>
      </c>
      <c r="P196" s="422">
        <f t="shared" si="70"/>
        <v>0</v>
      </c>
      <c r="Q196" s="422">
        <f t="shared" si="70"/>
        <v>0</v>
      </c>
      <c r="R196" s="422">
        <f t="shared" si="70"/>
        <v>0</v>
      </c>
      <c r="S196" s="422">
        <f t="shared" si="70"/>
        <v>0</v>
      </c>
      <c r="T196" s="422">
        <f t="shared" si="70"/>
        <v>0</v>
      </c>
      <c r="U196" s="422">
        <f t="shared" si="70"/>
        <v>0</v>
      </c>
      <c r="V196" s="422">
        <f t="shared" si="70"/>
        <v>0</v>
      </c>
      <c r="W196" s="422">
        <f t="shared" si="70"/>
        <v>0</v>
      </c>
      <c r="X196" s="422">
        <f t="shared" si="70"/>
        <v>0</v>
      </c>
      <c r="Y196" s="422">
        <f t="shared" si="70"/>
        <v>0</v>
      </c>
      <c r="Z196" s="422">
        <f t="shared" si="70"/>
        <v>0</v>
      </c>
      <c r="AA196" s="422">
        <f t="shared" si="70"/>
        <v>0</v>
      </c>
      <c r="AB196" s="422">
        <f t="shared" si="70"/>
        <v>0</v>
      </c>
      <c r="AC196" s="422">
        <f t="shared" si="70"/>
        <v>0</v>
      </c>
    </row>
    <row r="197" spans="1:53" ht="15.75">
      <c r="A197" s="25"/>
      <c r="B197" s="25"/>
      <c r="C197" s="403" t="s">
        <v>197</v>
      </c>
      <c r="D197" s="416">
        <f>-SUM(F197:AC197)/1000</f>
        <v>0</v>
      </c>
      <c r="E197" s="42"/>
      <c r="F197" s="422">
        <f>F5</f>
        <v>0</v>
      </c>
      <c r="G197" s="422">
        <f t="shared" ref="G197:AC197" si="71">G5</f>
        <v>0</v>
      </c>
      <c r="H197" s="422">
        <f t="shared" si="71"/>
        <v>0</v>
      </c>
      <c r="I197" s="422">
        <f t="shared" si="71"/>
        <v>0</v>
      </c>
      <c r="J197" s="422">
        <f t="shared" si="71"/>
        <v>0</v>
      </c>
      <c r="K197" s="422">
        <f t="shared" si="71"/>
        <v>0</v>
      </c>
      <c r="L197" s="422">
        <f t="shared" si="71"/>
        <v>0</v>
      </c>
      <c r="M197" s="422">
        <f t="shared" si="71"/>
        <v>0</v>
      </c>
      <c r="N197" s="422">
        <f t="shared" si="71"/>
        <v>0</v>
      </c>
      <c r="O197" s="422">
        <f t="shared" si="71"/>
        <v>0</v>
      </c>
      <c r="P197" s="422">
        <f t="shared" si="71"/>
        <v>0</v>
      </c>
      <c r="Q197" s="422">
        <f t="shared" si="71"/>
        <v>0</v>
      </c>
      <c r="R197" s="422">
        <f t="shared" si="71"/>
        <v>0</v>
      </c>
      <c r="S197" s="422">
        <f t="shared" si="71"/>
        <v>0</v>
      </c>
      <c r="T197" s="422">
        <f t="shared" si="71"/>
        <v>0</v>
      </c>
      <c r="U197" s="422">
        <f t="shared" si="71"/>
        <v>0</v>
      </c>
      <c r="V197" s="422">
        <f t="shared" si="71"/>
        <v>0</v>
      </c>
      <c r="W197" s="422">
        <f t="shared" si="71"/>
        <v>0</v>
      </c>
      <c r="X197" s="422">
        <f t="shared" si="71"/>
        <v>0</v>
      </c>
      <c r="Y197" s="422">
        <f t="shared" si="71"/>
        <v>0</v>
      </c>
      <c r="Z197" s="422">
        <f t="shared" si="71"/>
        <v>0</v>
      </c>
      <c r="AA197" s="422">
        <f t="shared" si="71"/>
        <v>0</v>
      </c>
      <c r="AB197" s="422">
        <f t="shared" si="71"/>
        <v>0</v>
      </c>
      <c r="AC197" s="422">
        <f t="shared" si="71"/>
        <v>0</v>
      </c>
    </row>
    <row r="198" spans="1:53" ht="15.75">
      <c r="A198" s="25"/>
      <c r="B198" s="25"/>
      <c r="C198" s="404" t="s">
        <v>546</v>
      </c>
      <c r="D198" s="416">
        <f>-SUM(F198:AC198)/1000</f>
        <v>0</v>
      </c>
      <c r="E198" s="42"/>
      <c r="F198" s="422">
        <f>F113</f>
        <v>0</v>
      </c>
      <c r="G198" s="422">
        <f t="shared" ref="G198:AC198" si="72">G113</f>
        <v>0</v>
      </c>
      <c r="H198" s="422">
        <f t="shared" si="72"/>
        <v>0</v>
      </c>
      <c r="I198" s="422">
        <f t="shared" si="72"/>
        <v>0</v>
      </c>
      <c r="J198" s="422">
        <f t="shared" si="72"/>
        <v>0</v>
      </c>
      <c r="K198" s="422">
        <f t="shared" si="72"/>
        <v>0</v>
      </c>
      <c r="L198" s="422">
        <f t="shared" si="72"/>
        <v>0</v>
      </c>
      <c r="M198" s="422">
        <f t="shared" si="72"/>
        <v>0</v>
      </c>
      <c r="N198" s="422">
        <f t="shared" si="72"/>
        <v>0</v>
      </c>
      <c r="O198" s="422">
        <f t="shared" si="72"/>
        <v>0</v>
      </c>
      <c r="P198" s="422">
        <f t="shared" si="72"/>
        <v>0</v>
      </c>
      <c r="Q198" s="422">
        <f t="shared" si="72"/>
        <v>0</v>
      </c>
      <c r="R198" s="422">
        <f t="shared" si="72"/>
        <v>0</v>
      </c>
      <c r="S198" s="422">
        <f t="shared" si="72"/>
        <v>0</v>
      </c>
      <c r="T198" s="422">
        <f t="shared" si="72"/>
        <v>0</v>
      </c>
      <c r="U198" s="422">
        <f t="shared" si="72"/>
        <v>0</v>
      </c>
      <c r="V198" s="422">
        <f t="shared" si="72"/>
        <v>0</v>
      </c>
      <c r="W198" s="422">
        <f t="shared" si="72"/>
        <v>0</v>
      </c>
      <c r="X198" s="422">
        <f t="shared" si="72"/>
        <v>0</v>
      </c>
      <c r="Y198" s="422">
        <f t="shared" si="72"/>
        <v>0</v>
      </c>
      <c r="Z198" s="422">
        <f t="shared" si="72"/>
        <v>0</v>
      </c>
      <c r="AA198" s="422">
        <f t="shared" si="72"/>
        <v>0</v>
      </c>
      <c r="AB198" s="422">
        <f t="shared" si="72"/>
        <v>0</v>
      </c>
      <c r="AC198" s="422">
        <f t="shared" si="72"/>
        <v>0</v>
      </c>
    </row>
    <row r="199" spans="1:53" ht="15.75">
      <c r="A199" s="25"/>
      <c r="B199" s="25"/>
      <c r="C199" s="403" t="s">
        <v>198</v>
      </c>
      <c r="D199" s="416">
        <f>-SUM(F199:AC199)/1000</f>
        <v>392.44401901208653</v>
      </c>
      <c r="E199" s="43"/>
      <c r="F199" s="422">
        <f>F147+F149+F160+F162</f>
        <v>0</v>
      </c>
      <c r="G199" s="422">
        <f t="shared" ref="G199:AC199" si="73">G147+G149+G160+G162</f>
        <v>-3994.8269768283262</v>
      </c>
      <c r="H199" s="422">
        <f t="shared" si="73"/>
        <v>-16161.650433426585</v>
      </c>
      <c r="I199" s="422">
        <f t="shared" si="73"/>
        <v>-16343.992959539868</v>
      </c>
      <c r="J199" s="422">
        <f t="shared" si="73"/>
        <v>-16526.335485653151</v>
      </c>
      <c r="K199" s="422">
        <f t="shared" si="73"/>
        <v>-16708.678011766435</v>
      </c>
      <c r="L199" s="422">
        <f t="shared" si="73"/>
        <v>-16891.020537879711</v>
      </c>
      <c r="M199" s="422">
        <f t="shared" si="73"/>
        <v>-17073.363063992998</v>
      </c>
      <c r="N199" s="422">
        <f t="shared" si="73"/>
        <v>-17186.689191467631</v>
      </c>
      <c r="O199" s="422">
        <f t="shared" si="73"/>
        <v>-17300.015318942264</v>
      </c>
      <c r="P199" s="422">
        <f t="shared" si="73"/>
        <v>-17413.341446416904</v>
      </c>
      <c r="Q199" s="422">
        <f t="shared" si="73"/>
        <v>-17526.667573891536</v>
      </c>
      <c r="R199" s="422">
        <f t="shared" si="73"/>
        <v>-17639.993701366169</v>
      </c>
      <c r="S199" s="422">
        <f t="shared" si="73"/>
        <v>-17753.319828840809</v>
      </c>
      <c r="T199" s="422">
        <f t="shared" si="73"/>
        <v>-17866.645956315442</v>
      </c>
      <c r="U199" s="422">
        <f t="shared" si="73"/>
        <v>-17979.972083790079</v>
      </c>
      <c r="V199" s="422">
        <f t="shared" si="73"/>
        <v>-18093.298211264711</v>
      </c>
      <c r="W199" s="422">
        <f t="shared" si="73"/>
        <v>-18206.624338739348</v>
      </c>
      <c r="X199" s="422">
        <f t="shared" si="73"/>
        <v>-18327.473760621651</v>
      </c>
      <c r="Y199" s="422">
        <f t="shared" si="73"/>
        <v>-18448.323182503962</v>
      </c>
      <c r="Z199" s="422">
        <f t="shared" si="73"/>
        <v>-18569.172604386269</v>
      </c>
      <c r="AA199" s="422">
        <f t="shared" si="73"/>
        <v>-18690.022026268576</v>
      </c>
      <c r="AB199" s="422">
        <f t="shared" si="73"/>
        <v>-18810.871448150883</v>
      </c>
      <c r="AC199" s="422">
        <f t="shared" si="73"/>
        <v>-18931.72087003319</v>
      </c>
    </row>
    <row r="200" spans="1:53" ht="15.75">
      <c r="A200" s="25"/>
      <c r="B200" s="25"/>
      <c r="C200" s="402"/>
      <c r="D200" s="417"/>
      <c r="F200" s="414">
        <f>SUM(F196:F199)</f>
        <v>-37500</v>
      </c>
      <c r="G200" s="414">
        <f t="shared" ref="G200:AC200" si="74">SUM(G196:G199)</f>
        <v>-676744.82697682828</v>
      </c>
      <c r="H200" s="414">
        <f t="shared" si="74"/>
        <v>-16161.650433426585</v>
      </c>
      <c r="I200" s="414">
        <f t="shared" si="74"/>
        <v>-16343.992959539868</v>
      </c>
      <c r="J200" s="414">
        <f t="shared" si="74"/>
        <v>-16526.335485653151</v>
      </c>
      <c r="K200" s="414">
        <f t="shared" si="74"/>
        <v>-16708.678011766435</v>
      </c>
      <c r="L200" s="414">
        <f t="shared" si="74"/>
        <v>-16891.020537879711</v>
      </c>
      <c r="M200" s="414">
        <f t="shared" si="74"/>
        <v>-17073.363063992998</v>
      </c>
      <c r="N200" s="414">
        <f t="shared" si="74"/>
        <v>-17186.689191467631</v>
      </c>
      <c r="O200" s="414">
        <f t="shared" si="74"/>
        <v>-17300.015318942264</v>
      </c>
      <c r="P200" s="414">
        <f t="shared" si="74"/>
        <v>-17413.341446416904</v>
      </c>
      <c r="Q200" s="414">
        <f t="shared" si="74"/>
        <v>-17526.667573891536</v>
      </c>
      <c r="R200" s="414">
        <f t="shared" si="74"/>
        <v>-17639.993701366169</v>
      </c>
      <c r="S200" s="414">
        <f t="shared" si="74"/>
        <v>-17753.319828840809</v>
      </c>
      <c r="T200" s="414">
        <f t="shared" si="74"/>
        <v>-17866.645956315442</v>
      </c>
      <c r="U200" s="414">
        <f t="shared" si="74"/>
        <v>-17979.972083790079</v>
      </c>
      <c r="V200" s="414">
        <f t="shared" si="74"/>
        <v>-18093.298211264711</v>
      </c>
      <c r="W200" s="414">
        <f t="shared" si="74"/>
        <v>-18206.624338739348</v>
      </c>
      <c r="X200" s="414">
        <f t="shared" si="74"/>
        <v>-18327.473760621651</v>
      </c>
      <c r="Y200" s="414">
        <f t="shared" si="74"/>
        <v>-18448.323182503962</v>
      </c>
      <c r="Z200" s="414">
        <f t="shared" si="74"/>
        <v>-18569.172604386269</v>
      </c>
      <c r="AA200" s="414">
        <f t="shared" si="74"/>
        <v>-18690.022026268576</v>
      </c>
      <c r="AB200" s="414">
        <f t="shared" si="74"/>
        <v>-18810.871448150883</v>
      </c>
      <c r="AC200" s="414">
        <f t="shared" si="74"/>
        <v>-18931.72087003319</v>
      </c>
    </row>
    <row r="201" spans="1:53" s="76" customFormat="1" ht="15.75">
      <c r="A201" s="25"/>
      <c r="B201" s="25"/>
      <c r="C201" s="401" t="s">
        <v>0</v>
      </c>
      <c r="D201" s="418">
        <f>SUM(D202:D208)</f>
        <v>4106.0062041972596</v>
      </c>
      <c r="E201" s="25"/>
      <c r="F201" s="25"/>
      <c r="G201" s="25"/>
      <c r="H201" s="25"/>
      <c r="I201" s="25"/>
      <c r="J201" s="25"/>
      <c r="K201" s="25"/>
      <c r="L201" s="25"/>
      <c r="M201" s="25"/>
      <c r="N201" s="25"/>
      <c r="O201" s="25"/>
      <c r="P201" s="25"/>
      <c r="Q201" s="25"/>
      <c r="R201" s="25"/>
      <c r="S201" s="25"/>
      <c r="T201" s="25"/>
      <c r="U201" s="25"/>
      <c r="V201" s="25"/>
      <c r="W201" s="25"/>
      <c r="X201" s="25"/>
      <c r="Y201" s="25"/>
      <c r="Z201" s="25"/>
      <c r="AA201" s="25"/>
      <c r="AB201" s="25"/>
      <c r="AC201" s="25"/>
      <c r="AD201" s="335"/>
      <c r="AE201"/>
      <c r="AF201"/>
      <c r="AG201"/>
      <c r="AH201"/>
      <c r="AI201"/>
      <c r="AJ201"/>
      <c r="AK201"/>
      <c r="AL201"/>
      <c r="AM201"/>
      <c r="AN201"/>
      <c r="AO201"/>
      <c r="AP201"/>
      <c r="AQ201"/>
      <c r="AR201"/>
      <c r="AS201"/>
      <c r="AT201"/>
      <c r="AU201"/>
      <c r="AV201"/>
      <c r="AW201"/>
      <c r="AX201"/>
      <c r="AY201"/>
      <c r="AZ201"/>
      <c r="BA201"/>
    </row>
    <row r="202" spans="1:53" s="76" customFormat="1" ht="15.75">
      <c r="A202" s="25"/>
      <c r="B202" s="25"/>
      <c r="C202" s="403" t="s">
        <v>577</v>
      </c>
      <c r="D202" s="416">
        <f t="shared" ref="D202:D208" si="75">SUM(F202:AC202)/1000</f>
        <v>1100.6307404722113</v>
      </c>
      <c r="E202" s="25"/>
      <c r="F202" s="423">
        <f>F39+F51+F65+F78</f>
        <v>0</v>
      </c>
      <c r="G202" s="423">
        <f t="shared" ref="G202:AC202" si="76">G39+G51+G65+G78</f>
        <v>10949.130005238221</v>
      </c>
      <c r="H202" s="423">
        <f t="shared" si="76"/>
        <v>44380.236354186651</v>
      </c>
      <c r="I202" s="423">
        <f t="shared" si="76"/>
        <v>44966.432798260292</v>
      </c>
      <c r="J202" s="423">
        <f t="shared" si="76"/>
        <v>45555.135115194527</v>
      </c>
      <c r="K202" s="423">
        <f t="shared" si="76"/>
        <v>46146.369425051991</v>
      </c>
      <c r="L202" s="423">
        <f t="shared" si="76"/>
        <v>46740.162212178933</v>
      </c>
      <c r="M202" s="423">
        <f t="shared" si="76"/>
        <v>47336.540331578195</v>
      </c>
      <c r="N202" s="423">
        <f t="shared" si="76"/>
        <v>47743.806736148668</v>
      </c>
      <c r="O202" s="423">
        <f t="shared" si="76"/>
        <v>48152.96061003572</v>
      </c>
      <c r="P202" s="423">
        <f t="shared" si="76"/>
        <v>48564.021975181138</v>
      </c>
      <c r="Q202" s="423">
        <f t="shared" si="76"/>
        <v>48977.011137717345</v>
      </c>
      <c r="R202" s="423">
        <f t="shared" si="76"/>
        <v>49391.9486930274</v>
      </c>
      <c r="S202" s="423">
        <f t="shared" si="76"/>
        <v>49808.855530913774</v>
      </c>
      <c r="T202" s="423">
        <f t="shared" si="76"/>
        <v>50227.752840878282</v>
      </c>
      <c r="U202" s="423">
        <f t="shared" si="76"/>
        <v>50648.662117516069</v>
      </c>
      <c r="V202" s="423">
        <f t="shared" si="76"/>
        <v>51071.605166026362</v>
      </c>
      <c r="W202" s="423">
        <f t="shared" si="76"/>
        <v>51496.604107843377</v>
      </c>
      <c r="X202" s="423">
        <f t="shared" si="76"/>
        <v>51945.00443213297</v>
      </c>
      <c r="Y202" s="423">
        <f t="shared" si="76"/>
        <v>52395.594006901578</v>
      </c>
      <c r="Z202" s="423">
        <f t="shared" si="76"/>
        <v>52848.396906590497</v>
      </c>
      <c r="AA202" s="423">
        <f t="shared" si="76"/>
        <v>53303.437559924292</v>
      </c>
      <c r="AB202" s="423">
        <f t="shared" si="76"/>
        <v>53760.74075645188</v>
      </c>
      <c r="AC202" s="423">
        <f t="shared" si="76"/>
        <v>54220.331653233181</v>
      </c>
      <c r="AD202" s="335"/>
      <c r="AE202"/>
      <c r="AF202"/>
      <c r="AG202"/>
      <c r="AH202"/>
      <c r="AI202"/>
      <c r="AJ202"/>
      <c r="AK202"/>
      <c r="AL202"/>
      <c r="AM202"/>
      <c r="AN202"/>
      <c r="AO202"/>
      <c r="AP202"/>
      <c r="AQ202"/>
      <c r="AR202"/>
      <c r="AS202"/>
      <c r="AT202"/>
      <c r="AU202"/>
      <c r="AV202"/>
      <c r="AW202"/>
      <c r="AX202"/>
      <c r="AY202"/>
      <c r="AZ202"/>
      <c r="BA202"/>
    </row>
    <row r="203" spans="1:53" s="76" customFormat="1" ht="15.75">
      <c r="A203" s="25"/>
      <c r="B203" s="25"/>
      <c r="C203" s="403" t="s">
        <v>578</v>
      </c>
      <c r="D203" s="416">
        <f t="shared" si="75"/>
        <v>924.25331799058392</v>
      </c>
      <c r="E203" s="25"/>
      <c r="F203" s="422">
        <f>F58+F85</f>
        <v>0</v>
      </c>
      <c r="G203" s="422">
        <f t="shared" ref="G203:AC203" si="77">G58+G85</f>
        <v>9408.3026094434135</v>
      </c>
      <c r="H203" s="422">
        <f t="shared" si="77"/>
        <v>38062.649228037903</v>
      </c>
      <c r="I203" s="422">
        <f t="shared" si="77"/>
        <v>38492.088018302129</v>
      </c>
      <c r="J203" s="422">
        <f t="shared" si="77"/>
        <v>38921.52680856637</v>
      </c>
      <c r="K203" s="422">
        <f t="shared" si="77"/>
        <v>39350.965598830604</v>
      </c>
      <c r="L203" s="422">
        <f t="shared" si="77"/>
        <v>39780.404389094838</v>
      </c>
      <c r="M203" s="422">
        <f t="shared" si="77"/>
        <v>40209.843179359072</v>
      </c>
      <c r="N203" s="422">
        <f t="shared" si="77"/>
        <v>40476.739970389623</v>
      </c>
      <c r="O203" s="422">
        <f t="shared" si="77"/>
        <v>40743.636761420166</v>
      </c>
      <c r="P203" s="422">
        <f t="shared" si="77"/>
        <v>41010.53355245071</v>
      </c>
      <c r="Q203" s="422">
        <f t="shared" si="77"/>
        <v>41277.430343481261</v>
      </c>
      <c r="R203" s="422">
        <f t="shared" si="77"/>
        <v>41544.327134511783</v>
      </c>
      <c r="S203" s="422">
        <f t="shared" si="77"/>
        <v>41811.223925542341</v>
      </c>
      <c r="T203" s="422">
        <f t="shared" si="77"/>
        <v>42078.120716572885</v>
      </c>
      <c r="U203" s="422">
        <f t="shared" si="77"/>
        <v>42345.017507603421</v>
      </c>
      <c r="V203" s="422">
        <f t="shared" si="77"/>
        <v>42611.914298633972</v>
      </c>
      <c r="W203" s="422">
        <f t="shared" si="77"/>
        <v>42878.811089664508</v>
      </c>
      <c r="X203" s="422">
        <f t="shared" si="77"/>
        <v>43163.426152554595</v>
      </c>
      <c r="Y203" s="422">
        <f t="shared" si="77"/>
        <v>43448.041215444697</v>
      </c>
      <c r="Z203" s="422">
        <f t="shared" si="77"/>
        <v>43732.656278334791</v>
      </c>
      <c r="AA203" s="422">
        <f t="shared" si="77"/>
        <v>44017.271341224885</v>
      </c>
      <c r="AB203" s="422">
        <f t="shared" si="77"/>
        <v>44301.886404114979</v>
      </c>
      <c r="AC203" s="422">
        <f t="shared" si="77"/>
        <v>44586.501467005073</v>
      </c>
      <c r="AD203" s="335"/>
      <c r="AE203"/>
      <c r="AF203"/>
      <c r="AG203"/>
      <c r="AH203"/>
      <c r="AI203"/>
      <c r="AJ203"/>
      <c r="AK203"/>
      <c r="AL203"/>
      <c r="AM203"/>
      <c r="AN203"/>
      <c r="AO203"/>
      <c r="AP203"/>
      <c r="AQ203"/>
      <c r="AR203"/>
      <c r="AS203"/>
      <c r="AT203"/>
      <c r="AU203"/>
      <c r="AV203"/>
      <c r="AW203"/>
      <c r="AX203"/>
      <c r="AY203"/>
      <c r="AZ203"/>
      <c r="BA203"/>
    </row>
    <row r="204" spans="1:53" s="76" customFormat="1" ht="15.75">
      <c r="A204" s="25"/>
      <c r="B204" s="25"/>
      <c r="C204" s="403" t="s">
        <v>199</v>
      </c>
      <c r="D204" s="416">
        <f t="shared" si="75"/>
        <v>151.562011076522</v>
      </c>
      <c r="E204" s="25"/>
      <c r="F204" s="422">
        <f>F102</f>
        <v>0</v>
      </c>
      <c r="G204" s="422">
        <f t="shared" ref="G204:AC204" si="78">G102</f>
        <v>1479.1582620274646</v>
      </c>
      <c r="H204" s="422">
        <f t="shared" si="78"/>
        <v>6005.1354760748454</v>
      </c>
      <c r="I204" s="422">
        <f t="shared" si="78"/>
        <v>6094.2579317498021</v>
      </c>
      <c r="J204" s="422">
        <f t="shared" si="78"/>
        <v>6184.006855639911</v>
      </c>
      <c r="K204" s="422">
        <f t="shared" si="78"/>
        <v>6274.3887777608215</v>
      </c>
      <c r="L204" s="422">
        <f t="shared" si="78"/>
        <v>6365.4103191991053</v>
      </c>
      <c r="M204" s="422">
        <f t="shared" si="78"/>
        <v>6457.078193705468</v>
      </c>
      <c r="N204" s="422">
        <f t="shared" si="78"/>
        <v>6523.2040506063904</v>
      </c>
      <c r="O204" s="422">
        <f t="shared" si="78"/>
        <v>6589.8017748364518</v>
      </c>
      <c r="P204" s="422">
        <f t="shared" si="78"/>
        <v>6656.8763718811142</v>
      </c>
      <c r="Q204" s="422">
        <f t="shared" si="78"/>
        <v>6724.43291827347</v>
      </c>
      <c r="R204" s="422">
        <f t="shared" si="78"/>
        <v>6792.4765628592841</v>
      </c>
      <c r="S204" s="422">
        <f t="shared" si="78"/>
        <v>6861.0125280891816</v>
      </c>
      <c r="T204" s="422">
        <f t="shared" si="78"/>
        <v>6930.0461113386118</v>
      </c>
      <c r="U204" s="422">
        <f t="shared" si="78"/>
        <v>6999.582686256359</v>
      </c>
      <c r="V204" s="422">
        <f t="shared" si="78"/>
        <v>7069.6277041422372</v>
      </c>
      <c r="W204" s="422">
        <f t="shared" si="78"/>
        <v>7140.1866953547978</v>
      </c>
      <c r="X204" s="422">
        <f t="shared" si="78"/>
        <v>7214.2266582154989</v>
      </c>
      <c r="Y204" s="422">
        <f t="shared" si="78"/>
        <v>7288.8139336959539</v>
      </c>
      <c r="Z204" s="422">
        <f t="shared" si="78"/>
        <v>7363.9545404064884</v>
      </c>
      <c r="AA204" s="422">
        <f t="shared" si="78"/>
        <v>7439.654585528242</v>
      </c>
      <c r="AB204" s="422">
        <f t="shared" si="78"/>
        <v>7515.920266448441</v>
      </c>
      <c r="AC204" s="422">
        <f t="shared" si="78"/>
        <v>7592.7578724320729</v>
      </c>
      <c r="AD204" s="335"/>
      <c r="AE204"/>
      <c r="AF204"/>
      <c r="AG204"/>
      <c r="AH204"/>
      <c r="AI204"/>
      <c r="AJ204"/>
      <c r="AK204"/>
      <c r="AL204"/>
      <c r="AM204"/>
      <c r="AN204"/>
      <c r="AO204"/>
      <c r="AP204"/>
      <c r="AQ204"/>
      <c r="AR204"/>
      <c r="AS204"/>
      <c r="AT204"/>
      <c r="AU204"/>
      <c r="AV204"/>
      <c r="AW204"/>
      <c r="AX204"/>
      <c r="AY204"/>
      <c r="AZ204"/>
      <c r="BA204"/>
    </row>
    <row r="205" spans="1:53" s="76" customFormat="1" ht="15.75">
      <c r="A205" s="25"/>
      <c r="B205" s="25"/>
      <c r="C205" s="403" t="s">
        <v>200</v>
      </c>
      <c r="D205" s="416">
        <f t="shared" si="75"/>
        <v>53.917987925432293</v>
      </c>
      <c r="E205" s="25"/>
      <c r="F205" s="422">
        <f>F115-F113</f>
        <v>0</v>
      </c>
      <c r="G205" s="422">
        <f t="shared" ref="G205:AC205" si="79">G115-G113</f>
        <v>548.85033856048449</v>
      </c>
      <c r="H205" s="422">
        <f t="shared" si="79"/>
        <v>2220.4534422977531</v>
      </c>
      <c r="I205" s="422">
        <f t="shared" si="79"/>
        <v>2245.5055303535682</v>
      </c>
      <c r="J205" s="422">
        <f t="shared" si="79"/>
        <v>2270.5576184093829</v>
      </c>
      <c r="K205" s="422">
        <f t="shared" si="79"/>
        <v>2295.609706465199</v>
      </c>
      <c r="L205" s="422">
        <f t="shared" si="79"/>
        <v>2320.6617945210128</v>
      </c>
      <c r="M205" s="422">
        <f t="shared" si="79"/>
        <v>2345.7138825768284</v>
      </c>
      <c r="N205" s="422">
        <f t="shared" si="79"/>
        <v>2361.2837893069523</v>
      </c>
      <c r="O205" s="422">
        <f t="shared" si="79"/>
        <v>2376.853696037078</v>
      </c>
      <c r="P205" s="422">
        <f t="shared" si="79"/>
        <v>2392.4236027672014</v>
      </c>
      <c r="Q205" s="422">
        <f t="shared" si="79"/>
        <v>2407.9935094973266</v>
      </c>
      <c r="R205" s="422">
        <f t="shared" si="79"/>
        <v>2423.56341622745</v>
      </c>
      <c r="S205" s="422">
        <f t="shared" si="79"/>
        <v>2439.1333229575753</v>
      </c>
      <c r="T205" s="422">
        <f t="shared" si="79"/>
        <v>2454.7032296876996</v>
      </c>
      <c r="U205" s="422">
        <f t="shared" si="79"/>
        <v>2470.2731364178244</v>
      </c>
      <c r="V205" s="422">
        <f t="shared" si="79"/>
        <v>2485.8430431479487</v>
      </c>
      <c r="W205" s="422">
        <f t="shared" si="79"/>
        <v>2501.4129498780731</v>
      </c>
      <c r="X205" s="422">
        <f t="shared" si="79"/>
        <v>2518.0164840235248</v>
      </c>
      <c r="Y205" s="422">
        <f t="shared" si="79"/>
        <v>2534.6200181689774</v>
      </c>
      <c r="Z205" s="422">
        <f t="shared" si="79"/>
        <v>2551.2235523144295</v>
      </c>
      <c r="AA205" s="422">
        <f t="shared" si="79"/>
        <v>2567.8270864598826</v>
      </c>
      <c r="AB205" s="422">
        <f t="shared" si="79"/>
        <v>2584.4306206053343</v>
      </c>
      <c r="AC205" s="422">
        <f t="shared" si="79"/>
        <v>2601.034154750786</v>
      </c>
      <c r="AD205" s="335"/>
      <c r="AE205"/>
      <c r="AF205"/>
      <c r="AG205"/>
      <c r="AH205"/>
      <c r="AI205"/>
      <c r="AJ205"/>
      <c r="AK205"/>
      <c r="AL205"/>
      <c r="AM205"/>
      <c r="AN205"/>
      <c r="AO205"/>
      <c r="AP205"/>
      <c r="AQ205"/>
      <c r="AR205"/>
      <c r="AS205"/>
      <c r="AT205"/>
      <c r="AU205"/>
      <c r="AV205"/>
      <c r="AW205"/>
      <c r="AX205"/>
      <c r="AY205"/>
      <c r="AZ205"/>
      <c r="BA205"/>
    </row>
    <row r="206" spans="1:53" s="76" customFormat="1" ht="15.75">
      <c r="A206" s="25"/>
      <c r="B206" s="36"/>
      <c r="C206" s="403" t="s">
        <v>201</v>
      </c>
      <c r="D206" s="416">
        <f t="shared" si="75"/>
        <v>262.28916739610094</v>
      </c>
      <c r="E206" s="25"/>
      <c r="F206" s="422">
        <f>F135+F118</f>
        <v>0</v>
      </c>
      <c r="G206" s="422">
        <f t="shared" ref="G206:AC206" si="80">G135+G118</f>
        <v>3860.4751175855836</v>
      </c>
      <c r="H206" s="422">
        <f t="shared" si="80"/>
        <v>14922.883489409478</v>
      </c>
      <c r="I206" s="422">
        <f t="shared" si="80"/>
        <v>14397.008959915365</v>
      </c>
      <c r="J206" s="422">
        <f t="shared" si="80"/>
        <v>13954.329833697362</v>
      </c>
      <c r="K206" s="422">
        <f t="shared" si="80"/>
        <v>13436.982115392972</v>
      </c>
      <c r="L206" s="422">
        <f t="shared" si="80"/>
        <v>12877.815792179772</v>
      </c>
      <c r="M206" s="422">
        <f t="shared" si="80"/>
        <v>12272.868491392115</v>
      </c>
      <c r="N206" s="422">
        <f t="shared" si="80"/>
        <v>11681.869971334374</v>
      </c>
      <c r="O206" s="422">
        <f t="shared" si="80"/>
        <v>11176.95392001612</v>
      </c>
      <c r="P206" s="422">
        <f t="shared" si="80"/>
        <v>11145.996936040905</v>
      </c>
      <c r="Q206" s="422">
        <f t="shared" si="80"/>
        <v>11111.659222736045</v>
      </c>
      <c r="R206" s="422">
        <f t="shared" si="80"/>
        <v>11077.38330158827</v>
      </c>
      <c r="S206" s="422">
        <f t="shared" si="80"/>
        <v>11039.737851135436</v>
      </c>
      <c r="T206" s="422">
        <f t="shared" si="80"/>
        <v>11002.119323446128</v>
      </c>
      <c r="U206" s="422">
        <f t="shared" si="80"/>
        <v>10961.143619021042</v>
      </c>
      <c r="V206" s="422">
        <f t="shared" si="80"/>
        <v>10920.158794401968</v>
      </c>
      <c r="W206" s="422">
        <f t="shared" si="80"/>
        <v>10875.830297903134</v>
      </c>
      <c r="X206" s="422">
        <f t="shared" si="80"/>
        <v>10834.449352144777</v>
      </c>
      <c r="Y206" s="422">
        <f t="shared" si="80"/>
        <v>10792.854462291085</v>
      </c>
      <c r="Z206" s="422">
        <f t="shared" si="80"/>
        <v>10869.62711253309</v>
      </c>
      <c r="AA206" s="422">
        <f t="shared" si="80"/>
        <v>10948.129137571404</v>
      </c>
      <c r="AB206" s="422">
        <f t="shared" si="80"/>
        <v>11025.089524812742</v>
      </c>
      <c r="AC206" s="422">
        <f t="shared" si="80"/>
        <v>11103.800769551748</v>
      </c>
      <c r="AD206" s="335"/>
      <c r="AE206"/>
      <c r="AF206"/>
      <c r="AG206"/>
      <c r="AH206"/>
      <c r="AI206"/>
      <c r="AJ206"/>
      <c r="AK206"/>
      <c r="AL206"/>
      <c r="AM206"/>
      <c r="AN206"/>
      <c r="AO206"/>
      <c r="AP206"/>
      <c r="AQ206"/>
      <c r="AR206"/>
      <c r="AS206"/>
      <c r="AT206"/>
      <c r="AU206"/>
      <c r="AV206"/>
      <c r="AW206"/>
      <c r="AX206"/>
      <c r="AY206"/>
      <c r="AZ206"/>
      <c r="BA206"/>
    </row>
    <row r="207" spans="1:53" s="76" customFormat="1" ht="15.75">
      <c r="A207" s="36"/>
      <c r="B207" s="25"/>
      <c r="C207" s="403" t="s">
        <v>579</v>
      </c>
      <c r="D207" s="416">
        <f t="shared" si="75"/>
        <v>0.81788446150295202</v>
      </c>
      <c r="E207" s="25"/>
      <c r="F207" s="422">
        <f>F140</f>
        <v>0</v>
      </c>
      <c r="G207" s="422">
        <f t="shared" ref="G207:AC207" si="81">G140</f>
        <v>8.3255362611095745</v>
      </c>
      <c r="H207" s="422">
        <f t="shared" si="81"/>
        <v>33.682161330976875</v>
      </c>
      <c r="I207" s="422">
        <f t="shared" si="81"/>
        <v>34.062177617515459</v>
      </c>
      <c r="J207" s="422">
        <f t="shared" si="81"/>
        <v>34.442193904054044</v>
      </c>
      <c r="K207" s="422">
        <f t="shared" si="81"/>
        <v>34.822210190592628</v>
      </c>
      <c r="L207" s="422">
        <f t="shared" si="81"/>
        <v>35.202226477131198</v>
      </c>
      <c r="M207" s="422">
        <f t="shared" si="81"/>
        <v>35.582242763669782</v>
      </c>
      <c r="N207" s="422">
        <f t="shared" si="81"/>
        <v>35.818423401553204</v>
      </c>
      <c r="O207" s="422">
        <f t="shared" si="81"/>
        <v>36.054604039436619</v>
      </c>
      <c r="P207" s="422">
        <f t="shared" si="81"/>
        <v>36.29078467732004</v>
      </c>
      <c r="Q207" s="422">
        <f t="shared" si="81"/>
        <v>36.526965315203462</v>
      </c>
      <c r="R207" s="422">
        <f t="shared" si="81"/>
        <v>36.76314595308687</v>
      </c>
      <c r="S207" s="422">
        <f t="shared" si="81"/>
        <v>36.999326590970298</v>
      </c>
      <c r="T207" s="422">
        <f t="shared" si="81"/>
        <v>37.235507228853706</v>
      </c>
      <c r="U207" s="422">
        <f t="shared" si="81"/>
        <v>37.471687866737135</v>
      </c>
      <c r="V207" s="422">
        <f t="shared" si="81"/>
        <v>37.707868504620549</v>
      </c>
      <c r="W207" s="422">
        <f t="shared" si="81"/>
        <v>37.944049142503964</v>
      </c>
      <c r="X207" s="422">
        <f t="shared" si="81"/>
        <v>38.195908922627432</v>
      </c>
      <c r="Y207" s="422">
        <f t="shared" si="81"/>
        <v>38.447768702750906</v>
      </c>
      <c r="Z207" s="422">
        <f t="shared" si="81"/>
        <v>38.699628482874367</v>
      </c>
      <c r="AA207" s="422">
        <f t="shared" si="81"/>
        <v>38.951488262997835</v>
      </c>
      <c r="AB207" s="422">
        <f t="shared" si="81"/>
        <v>39.203348043121302</v>
      </c>
      <c r="AC207" s="422">
        <f t="shared" si="81"/>
        <v>39.455207823244763</v>
      </c>
      <c r="AD207" s="335"/>
      <c r="AE207"/>
      <c r="AF207"/>
      <c r="AG207"/>
      <c r="AH207"/>
      <c r="AI207"/>
      <c r="AJ207"/>
      <c r="AK207"/>
      <c r="AL207"/>
      <c r="AM207"/>
      <c r="AN207"/>
      <c r="AO207"/>
      <c r="AP207"/>
      <c r="AQ207"/>
      <c r="AR207"/>
      <c r="AS207"/>
      <c r="AT207"/>
      <c r="AU207"/>
      <c r="AV207"/>
      <c r="AW207"/>
      <c r="AX207"/>
      <c r="AY207"/>
      <c r="AZ207"/>
      <c r="BA207"/>
    </row>
    <row r="208" spans="1:53" s="76" customFormat="1" ht="15.75">
      <c r="A208" s="25"/>
      <c r="B208" s="25"/>
      <c r="C208" s="403" t="s">
        <v>202</v>
      </c>
      <c r="D208" s="416">
        <f t="shared" si="75"/>
        <v>1612.5350948749065</v>
      </c>
      <c r="E208" s="25"/>
      <c r="F208" s="422">
        <f>F153+F155+F166+F168+F172+F174+F176</f>
        <v>0</v>
      </c>
      <c r="G208" s="422">
        <f t="shared" ref="G208:AC208" si="82">G153+G155+G166+G168+G172+G174+G176</f>
        <v>16414.567138275856</v>
      </c>
      <c r="H208" s="422">
        <f t="shared" si="82"/>
        <v>66407.50591792808</v>
      </c>
      <c r="I208" s="422">
        <f t="shared" si="82"/>
        <v>67156.743282752723</v>
      </c>
      <c r="J208" s="422">
        <f t="shared" si="82"/>
        <v>67905.98064757738</v>
      </c>
      <c r="K208" s="422">
        <f t="shared" si="82"/>
        <v>68655.218012402038</v>
      </c>
      <c r="L208" s="422">
        <f t="shared" si="82"/>
        <v>69404.455377226681</v>
      </c>
      <c r="M208" s="422">
        <f t="shared" si="82"/>
        <v>70153.692742051324</v>
      </c>
      <c r="N208" s="422">
        <f t="shared" si="82"/>
        <v>70619.344781236781</v>
      </c>
      <c r="O208" s="422">
        <f t="shared" si="82"/>
        <v>71084.996820422282</v>
      </c>
      <c r="P208" s="422">
        <f t="shared" si="82"/>
        <v>71550.648859607725</v>
      </c>
      <c r="Q208" s="422">
        <f t="shared" si="82"/>
        <v>72016.300898793197</v>
      </c>
      <c r="R208" s="422">
        <f t="shared" si="82"/>
        <v>72481.95293797864</v>
      </c>
      <c r="S208" s="422">
        <f t="shared" si="82"/>
        <v>72947.604977164112</v>
      </c>
      <c r="T208" s="422">
        <f t="shared" si="82"/>
        <v>73413.257016349584</v>
      </c>
      <c r="U208" s="422">
        <f t="shared" si="82"/>
        <v>73878.909055535041</v>
      </c>
      <c r="V208" s="422">
        <f t="shared" si="82"/>
        <v>74344.561094720513</v>
      </c>
      <c r="W208" s="422">
        <f t="shared" si="82"/>
        <v>74810.213133905956</v>
      </c>
      <c r="X208" s="422">
        <f t="shared" si="82"/>
        <v>75306.778056646071</v>
      </c>
      <c r="Y208" s="422">
        <f t="shared" si="82"/>
        <v>75803.342979386216</v>
      </c>
      <c r="Z208" s="422">
        <f t="shared" si="82"/>
        <v>76299.907902126346</v>
      </c>
      <c r="AA208" s="422">
        <f t="shared" si="82"/>
        <v>76796.472824866491</v>
      </c>
      <c r="AB208" s="422">
        <f t="shared" si="82"/>
        <v>77293.037747606635</v>
      </c>
      <c r="AC208" s="422">
        <f t="shared" si="82"/>
        <v>77789.602670346736</v>
      </c>
      <c r="AD208" s="335"/>
      <c r="AE208"/>
      <c r="AF208"/>
      <c r="AG208"/>
      <c r="AH208"/>
      <c r="AI208"/>
      <c r="AJ208"/>
      <c r="AK208"/>
      <c r="AL208"/>
      <c r="AM208"/>
      <c r="AN208"/>
      <c r="AO208"/>
      <c r="AP208"/>
      <c r="AQ208"/>
      <c r="AR208"/>
      <c r="AS208"/>
      <c r="AT208"/>
      <c r="AU208"/>
      <c r="AV208"/>
      <c r="AW208"/>
      <c r="AX208"/>
      <c r="AY208"/>
      <c r="AZ208"/>
      <c r="BA208"/>
    </row>
    <row r="209" spans="1:53" s="76" customFormat="1" ht="15.75">
      <c r="A209" s="25"/>
      <c r="B209" s="25"/>
      <c r="C209" s="402"/>
      <c r="D209" s="466"/>
      <c r="E209" s="25"/>
      <c r="F209" s="413">
        <f>SUM(F202:F208)</f>
        <v>0</v>
      </c>
      <c r="G209" s="413">
        <f t="shared" ref="G209:AC209" si="83">SUM(G202:G208)</f>
        <v>42668.809007392134</v>
      </c>
      <c r="H209" s="413">
        <f t="shared" si="83"/>
        <v>172032.54606926569</v>
      </c>
      <c r="I209" s="413">
        <f t="shared" si="83"/>
        <v>173386.09869895139</v>
      </c>
      <c r="J209" s="413">
        <f t="shared" si="83"/>
        <v>174825.97907298896</v>
      </c>
      <c r="K209" s="413">
        <f t="shared" si="83"/>
        <v>176194.3558460942</v>
      </c>
      <c r="L209" s="413">
        <f t="shared" si="83"/>
        <v>177524.11211087747</v>
      </c>
      <c r="M209" s="413">
        <f t="shared" si="83"/>
        <v>178811.31906342669</v>
      </c>
      <c r="N209" s="413">
        <f t="shared" si="83"/>
        <v>179442.06772242434</v>
      </c>
      <c r="O209" s="413">
        <f t="shared" si="83"/>
        <v>180161.25818680727</v>
      </c>
      <c r="P209" s="413">
        <f t="shared" si="83"/>
        <v>181356.79208260612</v>
      </c>
      <c r="Q209" s="413">
        <f t="shared" si="83"/>
        <v>182551.35499581386</v>
      </c>
      <c r="R209" s="413">
        <f t="shared" si="83"/>
        <v>183748.41519214591</v>
      </c>
      <c r="S209" s="413">
        <f t="shared" si="83"/>
        <v>184944.56746239337</v>
      </c>
      <c r="T209" s="413">
        <f t="shared" si="83"/>
        <v>186143.23474550204</v>
      </c>
      <c r="U209" s="413">
        <f t="shared" si="83"/>
        <v>187341.05981021648</v>
      </c>
      <c r="V209" s="413">
        <f t="shared" si="83"/>
        <v>188541.41796957763</v>
      </c>
      <c r="W209" s="413">
        <f t="shared" si="83"/>
        <v>189741.00232369234</v>
      </c>
      <c r="X209" s="413">
        <f t="shared" si="83"/>
        <v>191020.09704464005</v>
      </c>
      <c r="Y209" s="413">
        <f t="shared" si="83"/>
        <v>192301.71438459127</v>
      </c>
      <c r="Z209" s="413">
        <f t="shared" si="83"/>
        <v>193704.46592078853</v>
      </c>
      <c r="AA209" s="413">
        <f t="shared" si="83"/>
        <v>195111.7440238382</v>
      </c>
      <c r="AB209" s="413">
        <f t="shared" si="83"/>
        <v>196520.30866808316</v>
      </c>
      <c r="AC209" s="413">
        <f t="shared" si="83"/>
        <v>197933.48379514285</v>
      </c>
      <c r="AD209" s="335"/>
      <c r="AE209"/>
      <c r="AF209"/>
      <c r="AG209"/>
      <c r="AH209"/>
      <c r="AI209"/>
      <c r="AJ209"/>
      <c r="AK209"/>
      <c r="AL209"/>
      <c r="AM209"/>
      <c r="AN209"/>
      <c r="AO209"/>
      <c r="AP209"/>
      <c r="AQ209"/>
      <c r="AR209"/>
      <c r="AS209"/>
      <c r="AT209"/>
      <c r="AU209"/>
      <c r="AV209"/>
      <c r="AW209"/>
      <c r="AX209"/>
      <c r="AY209"/>
      <c r="AZ209"/>
      <c r="BA209"/>
    </row>
    <row r="210" spans="1:53" s="76" customFormat="1" ht="15.75">
      <c r="A210" s="25"/>
      <c r="B210" s="25"/>
      <c r="C210" s="401" t="s">
        <v>182</v>
      </c>
      <c r="D210" s="199"/>
      <c r="E210" s="25"/>
      <c r="F210" s="25"/>
      <c r="G210" s="25"/>
      <c r="H210" s="25"/>
      <c r="I210" s="25"/>
      <c r="J210" s="25"/>
      <c r="K210" s="25"/>
      <c r="L210" s="25"/>
      <c r="M210" s="25"/>
      <c r="N210" s="25"/>
      <c r="O210" s="25"/>
      <c r="P210" s="25"/>
      <c r="Q210" s="25"/>
      <c r="R210" s="25"/>
      <c r="S210" s="25"/>
      <c r="T210" s="25"/>
      <c r="U210" s="25"/>
      <c r="V210" s="25"/>
      <c r="W210" s="25"/>
      <c r="X210" s="25"/>
      <c r="Y210" s="25"/>
      <c r="Z210" s="25"/>
      <c r="AA210" s="25"/>
      <c r="AB210" s="25"/>
      <c r="AC210" s="25"/>
      <c r="AD210" s="335"/>
      <c r="AE210"/>
      <c r="AF210"/>
      <c r="AG210"/>
      <c r="AH210"/>
      <c r="AI210"/>
      <c r="AJ210"/>
      <c r="AK210"/>
      <c r="AL210"/>
      <c r="AM210"/>
      <c r="AN210"/>
      <c r="AO210"/>
      <c r="AP210"/>
      <c r="AQ210"/>
      <c r="AR210"/>
      <c r="AS210"/>
      <c r="AT210"/>
      <c r="AU210"/>
      <c r="AV210"/>
      <c r="AW210"/>
      <c r="AX210"/>
      <c r="AY210"/>
      <c r="AZ210"/>
      <c r="BA210"/>
    </row>
    <row r="211" spans="1:53" s="76" customFormat="1" ht="15.75">
      <c r="A211" s="25"/>
      <c r="B211" s="25"/>
      <c r="C211" s="401" t="s">
        <v>183</v>
      </c>
      <c r="D211" s="419">
        <f>IRR(F211:AC211)</f>
        <v>0.23327926545258487</v>
      </c>
      <c r="E211" s="25"/>
      <c r="F211" s="415">
        <f>F200+F209</f>
        <v>-37500</v>
      </c>
      <c r="G211" s="415">
        <f t="shared" ref="G211:AC211" si="84">G200+G209</f>
        <v>-634076.01796943613</v>
      </c>
      <c r="H211" s="415">
        <f t="shared" si="84"/>
        <v>155870.89563583912</v>
      </c>
      <c r="I211" s="415">
        <f t="shared" si="84"/>
        <v>157042.10573941152</v>
      </c>
      <c r="J211" s="415">
        <f t="shared" si="84"/>
        <v>158299.64358733583</v>
      </c>
      <c r="K211" s="415">
        <f t="shared" si="84"/>
        <v>159485.67783432777</v>
      </c>
      <c r="L211" s="415">
        <f t="shared" si="84"/>
        <v>160633.09157299774</v>
      </c>
      <c r="M211" s="415">
        <f t="shared" si="84"/>
        <v>161737.9559994337</v>
      </c>
      <c r="N211" s="415">
        <f t="shared" si="84"/>
        <v>162255.37853095672</v>
      </c>
      <c r="O211" s="415">
        <f t="shared" si="84"/>
        <v>162861.24286786502</v>
      </c>
      <c r="P211" s="415">
        <f t="shared" si="84"/>
        <v>163943.4506361892</v>
      </c>
      <c r="Q211" s="415">
        <f t="shared" si="84"/>
        <v>165024.68742192234</v>
      </c>
      <c r="R211" s="415">
        <f t="shared" si="84"/>
        <v>166108.42149077973</v>
      </c>
      <c r="S211" s="415">
        <f t="shared" si="84"/>
        <v>167191.24763355256</v>
      </c>
      <c r="T211" s="415">
        <f t="shared" si="84"/>
        <v>168276.58878918659</v>
      </c>
      <c r="U211" s="415">
        <f t="shared" si="84"/>
        <v>169361.0877264264</v>
      </c>
      <c r="V211" s="415">
        <f t="shared" si="84"/>
        <v>170448.11975831291</v>
      </c>
      <c r="W211" s="415">
        <f t="shared" si="84"/>
        <v>171534.377984953</v>
      </c>
      <c r="X211" s="415">
        <f t="shared" si="84"/>
        <v>172692.62328401839</v>
      </c>
      <c r="Y211" s="415">
        <f t="shared" si="84"/>
        <v>173853.39120208731</v>
      </c>
      <c r="Z211" s="415">
        <f t="shared" si="84"/>
        <v>175135.29331640227</v>
      </c>
      <c r="AA211" s="415">
        <f t="shared" si="84"/>
        <v>176421.72199756961</v>
      </c>
      <c r="AB211" s="415">
        <f t="shared" si="84"/>
        <v>177709.43721993227</v>
      </c>
      <c r="AC211" s="415">
        <f t="shared" si="84"/>
        <v>179001.76292510965</v>
      </c>
      <c r="AD211" s="335"/>
      <c r="AE211"/>
      <c r="AF211"/>
      <c r="AG211"/>
      <c r="AH211"/>
      <c r="AI211"/>
      <c r="AJ211"/>
      <c r="AK211"/>
      <c r="AL211"/>
      <c r="AM211"/>
      <c r="AN211"/>
      <c r="AO211"/>
      <c r="AP211"/>
      <c r="AQ211"/>
      <c r="AR211"/>
      <c r="AS211"/>
      <c r="AT211"/>
      <c r="AU211"/>
      <c r="AV211"/>
      <c r="AW211"/>
      <c r="AX211"/>
      <c r="AY211"/>
      <c r="AZ211"/>
      <c r="BA211"/>
    </row>
    <row r="212" spans="1:53" s="76" customFormat="1" ht="15.75">
      <c r="A212" s="25"/>
      <c r="B212" s="25"/>
      <c r="C212" s="401" t="s">
        <v>184</v>
      </c>
      <c r="D212" s="420">
        <f>SUM(D202:D208)/SUM(D196:D199)</f>
        <v>3.7236133808686724</v>
      </c>
      <c r="E212" s="25"/>
      <c r="F212" s="407">
        <f t="shared" ref="F212:AC212" si="85">F211-F182</f>
        <v>0</v>
      </c>
      <c r="G212" s="407">
        <f t="shared" si="85"/>
        <v>0</v>
      </c>
      <c r="H212" s="407">
        <f t="shared" si="85"/>
        <v>0</v>
      </c>
      <c r="I212" s="407">
        <f t="shared" si="85"/>
        <v>0</v>
      </c>
      <c r="J212" s="407">
        <f t="shared" si="85"/>
        <v>0</v>
      </c>
      <c r="K212" s="407">
        <f t="shared" si="85"/>
        <v>0</v>
      </c>
      <c r="L212" s="407">
        <f t="shared" si="85"/>
        <v>0</v>
      </c>
      <c r="M212" s="407">
        <f t="shared" si="85"/>
        <v>0</v>
      </c>
      <c r="N212" s="407">
        <f t="shared" si="85"/>
        <v>0</v>
      </c>
      <c r="O212" s="407">
        <f t="shared" si="85"/>
        <v>0</v>
      </c>
      <c r="P212" s="407">
        <f t="shared" si="85"/>
        <v>0</v>
      </c>
      <c r="Q212" s="407">
        <f t="shared" si="85"/>
        <v>0</v>
      </c>
      <c r="R212" s="407">
        <f t="shared" si="85"/>
        <v>0</v>
      </c>
      <c r="S212" s="407">
        <f t="shared" si="85"/>
        <v>0</v>
      </c>
      <c r="T212" s="407">
        <f t="shared" si="85"/>
        <v>0</v>
      </c>
      <c r="U212" s="407">
        <f t="shared" si="85"/>
        <v>0</v>
      </c>
      <c r="V212" s="407">
        <f t="shared" si="85"/>
        <v>0</v>
      </c>
      <c r="W212" s="407">
        <f t="shared" si="85"/>
        <v>0</v>
      </c>
      <c r="X212" s="407">
        <f t="shared" si="85"/>
        <v>0</v>
      </c>
      <c r="Y212" s="407">
        <f t="shared" si="85"/>
        <v>0</v>
      </c>
      <c r="Z212" s="407">
        <f t="shared" si="85"/>
        <v>0</v>
      </c>
      <c r="AA212" s="407">
        <f t="shared" si="85"/>
        <v>0</v>
      </c>
      <c r="AB212" s="407">
        <f t="shared" si="85"/>
        <v>0</v>
      </c>
      <c r="AC212" s="407">
        <f t="shared" si="85"/>
        <v>0</v>
      </c>
      <c r="AD212" s="335"/>
      <c r="AE212"/>
      <c r="AF212"/>
      <c r="AG212"/>
      <c r="AH212"/>
      <c r="AI212"/>
      <c r="AJ212"/>
      <c r="AK212"/>
      <c r="AL212"/>
      <c r="AM212"/>
      <c r="AN212"/>
      <c r="AO212"/>
      <c r="AP212"/>
      <c r="AQ212"/>
      <c r="AR212"/>
      <c r="AS212"/>
      <c r="AT212"/>
      <c r="AU212"/>
      <c r="AV212"/>
      <c r="AW212"/>
      <c r="AX212"/>
      <c r="AY212"/>
      <c r="AZ212"/>
      <c r="BA212"/>
    </row>
    <row r="213" spans="1:53" s="76" customFormat="1">
      <c r="A213" s="25"/>
      <c r="B213" s="25"/>
      <c r="C213" s="50"/>
      <c r="D213" s="40"/>
      <c r="E213" s="25"/>
      <c r="F213" s="39"/>
      <c r="H213"/>
      <c r="I213"/>
      <c r="J213"/>
      <c r="K213"/>
      <c r="L213"/>
      <c r="M213"/>
      <c r="N213"/>
      <c r="O213"/>
      <c r="P213"/>
      <c r="Q213"/>
      <c r="R213"/>
      <c r="S213"/>
      <c r="T213"/>
      <c r="U213"/>
      <c r="V213"/>
      <c r="W213"/>
      <c r="X213"/>
      <c r="Y213"/>
      <c r="Z213"/>
      <c r="AA213"/>
      <c r="AB213"/>
      <c r="AC213"/>
      <c r="AD213" s="335"/>
      <c r="AE213"/>
      <c r="AF213"/>
      <c r="AG213"/>
      <c r="AH213"/>
      <c r="AI213"/>
      <c r="AJ213"/>
      <c r="AK213"/>
      <c r="AL213"/>
      <c r="AM213"/>
      <c r="AN213"/>
      <c r="AO213"/>
      <c r="AP213"/>
      <c r="AQ213"/>
      <c r="AR213"/>
      <c r="AS213"/>
      <c r="AT213"/>
      <c r="AU213"/>
      <c r="AV213"/>
      <c r="AW213"/>
      <c r="AX213"/>
      <c r="AY213"/>
      <c r="AZ213"/>
      <c r="BA213"/>
    </row>
    <row r="214" spans="1:53" s="76" customFormat="1">
      <c r="A214" s="25"/>
      <c r="B214" s="25"/>
      <c r="C214" s="50"/>
      <c r="D214" s="25"/>
      <c r="E214" s="25"/>
      <c r="F214" s="39"/>
      <c r="H214"/>
      <c r="I214"/>
      <c r="J214"/>
      <c r="K214"/>
      <c r="L214"/>
      <c r="M214"/>
      <c r="N214"/>
      <c r="O214"/>
      <c r="P214"/>
      <c r="Q214"/>
      <c r="R214"/>
      <c r="S214"/>
      <c r="T214"/>
      <c r="U214"/>
      <c r="V214"/>
      <c r="W214"/>
      <c r="X214"/>
      <c r="Y214"/>
      <c r="Z214"/>
      <c r="AA214"/>
      <c r="AB214"/>
      <c r="AC214"/>
      <c r="AD214" s="335"/>
      <c r="AE214"/>
      <c r="AF214"/>
      <c r="AG214"/>
      <c r="AH214"/>
      <c r="AI214"/>
      <c r="AJ214"/>
      <c r="AK214"/>
      <c r="AL214"/>
      <c r="AM214"/>
      <c r="AN214"/>
      <c r="AO214"/>
      <c r="AP214"/>
      <c r="AQ214"/>
      <c r="AR214"/>
      <c r="AS214"/>
      <c r="AT214"/>
      <c r="AU214"/>
      <c r="AV214"/>
      <c r="AW214"/>
      <c r="AX214"/>
      <c r="AY214"/>
      <c r="AZ214"/>
      <c r="BA214"/>
    </row>
    <row r="215" spans="1:53" s="76" customFormat="1" ht="14.25">
      <c r="A215" s="25"/>
      <c r="B215" s="25"/>
      <c r="C215" s="412" t="s">
        <v>580</v>
      </c>
      <c r="D215" s="39"/>
      <c r="E215" s="39"/>
      <c r="F215" s="39"/>
      <c r="H215"/>
      <c r="I215"/>
      <c r="J215"/>
      <c r="K215"/>
      <c r="L215"/>
      <c r="M215"/>
      <c r="N215"/>
      <c r="O215"/>
      <c r="P215"/>
      <c r="Q215"/>
      <c r="R215"/>
      <c r="S215"/>
      <c r="T215"/>
      <c r="U215"/>
      <c r="V215"/>
      <c r="W215"/>
      <c r="X215"/>
      <c r="Y215"/>
      <c r="Z215"/>
      <c r="AA215"/>
      <c r="AB215"/>
      <c r="AC215"/>
      <c r="AD215" s="335"/>
      <c r="AE215"/>
      <c r="AF215"/>
      <c r="AG215"/>
      <c r="AH215"/>
      <c r="AI215"/>
      <c r="AJ215"/>
      <c r="AK215"/>
      <c r="AL215"/>
      <c r="AM215"/>
      <c r="AN215"/>
      <c r="AO215"/>
      <c r="AP215"/>
      <c r="AQ215"/>
      <c r="AR215"/>
      <c r="AS215"/>
      <c r="AT215"/>
      <c r="AU215"/>
      <c r="AV215"/>
      <c r="AW215"/>
      <c r="AX215"/>
      <c r="AY215"/>
      <c r="AZ215"/>
      <c r="BA215"/>
    </row>
    <row r="216" spans="1:53" s="76" customFormat="1" ht="15.75">
      <c r="A216" s="25"/>
      <c r="B216" s="25"/>
      <c r="C216" s="401" t="s">
        <v>1</v>
      </c>
      <c r="D216" s="418">
        <f>SUM(D217:D220)</f>
        <v>937.30421163296728</v>
      </c>
      <c r="E216" s="39"/>
      <c r="F216" s="422"/>
      <c r="G216" s="422"/>
      <c r="H216" s="422"/>
      <c r="I216" s="422"/>
      <c r="J216" s="422"/>
      <c r="K216" s="422"/>
      <c r="L216" s="422"/>
      <c r="M216" s="422"/>
      <c r="N216" s="422"/>
      <c r="O216" s="422"/>
      <c r="P216" s="422"/>
      <c r="Q216" s="422"/>
      <c r="R216" s="422"/>
      <c r="S216" s="422"/>
      <c r="T216" s="422"/>
      <c r="U216" s="422"/>
      <c r="V216" s="422"/>
      <c r="W216" s="422"/>
      <c r="X216" s="422"/>
      <c r="Y216" s="422"/>
      <c r="Z216" s="422"/>
      <c r="AA216" s="422"/>
      <c r="AB216" s="422"/>
      <c r="AC216" s="422"/>
      <c r="AD216" s="335"/>
      <c r="AE216"/>
      <c r="AF216"/>
      <c r="AG216"/>
      <c r="AH216"/>
      <c r="AI216"/>
      <c r="AJ216"/>
      <c r="AK216"/>
      <c r="AL216"/>
      <c r="AM216"/>
      <c r="AN216"/>
      <c r="AO216"/>
      <c r="AP216"/>
      <c r="AQ216"/>
      <c r="AR216"/>
      <c r="AS216"/>
      <c r="AT216"/>
      <c r="AU216"/>
      <c r="AV216"/>
      <c r="AW216"/>
      <c r="AX216"/>
      <c r="AY216"/>
      <c r="AZ216"/>
      <c r="BA216"/>
    </row>
    <row r="217" spans="1:53" s="76" customFormat="1" ht="15.75">
      <c r="A217" s="25"/>
      <c r="B217" s="25"/>
      <c r="C217" s="403" t="s">
        <v>196</v>
      </c>
      <c r="D217" s="416">
        <f>-SUM(F217:AC217)/1000</f>
        <v>670.53916486002458</v>
      </c>
      <c r="E217" s="39"/>
      <c r="F217" s="422">
        <f t="shared" ref="F217:AC217" si="86">F196*F$183</f>
        <v>-36407.76699029126</v>
      </c>
      <c r="G217" s="422">
        <f t="shared" si="86"/>
        <v>-634131.39786973328</v>
      </c>
      <c r="H217" s="422">
        <f t="shared" si="86"/>
        <v>0</v>
      </c>
      <c r="I217" s="422">
        <f t="shared" si="86"/>
        <v>0</v>
      </c>
      <c r="J217" s="422">
        <f t="shared" si="86"/>
        <v>0</v>
      </c>
      <c r="K217" s="422">
        <f t="shared" si="86"/>
        <v>0</v>
      </c>
      <c r="L217" s="422">
        <f t="shared" si="86"/>
        <v>0</v>
      </c>
      <c r="M217" s="422">
        <f t="shared" si="86"/>
        <v>0</v>
      </c>
      <c r="N217" s="422">
        <f t="shared" si="86"/>
        <v>0</v>
      </c>
      <c r="O217" s="422">
        <f t="shared" si="86"/>
        <v>0</v>
      </c>
      <c r="P217" s="422">
        <f t="shared" si="86"/>
        <v>0</v>
      </c>
      <c r="Q217" s="422">
        <f t="shared" si="86"/>
        <v>0</v>
      </c>
      <c r="R217" s="422">
        <f t="shared" si="86"/>
        <v>0</v>
      </c>
      <c r="S217" s="422">
        <f t="shared" si="86"/>
        <v>0</v>
      </c>
      <c r="T217" s="422">
        <f t="shared" si="86"/>
        <v>0</v>
      </c>
      <c r="U217" s="422">
        <f t="shared" si="86"/>
        <v>0</v>
      </c>
      <c r="V217" s="422">
        <f t="shared" si="86"/>
        <v>0</v>
      </c>
      <c r="W217" s="422">
        <f t="shared" si="86"/>
        <v>0</v>
      </c>
      <c r="X217" s="422">
        <f t="shared" si="86"/>
        <v>0</v>
      </c>
      <c r="Y217" s="422">
        <f t="shared" si="86"/>
        <v>0</v>
      </c>
      <c r="Z217" s="422">
        <f t="shared" si="86"/>
        <v>0</v>
      </c>
      <c r="AA217" s="422">
        <f t="shared" si="86"/>
        <v>0</v>
      </c>
      <c r="AB217" s="422">
        <f t="shared" si="86"/>
        <v>0</v>
      </c>
      <c r="AC217" s="422">
        <f t="shared" si="86"/>
        <v>0</v>
      </c>
      <c r="AD217" s="335"/>
      <c r="AE217"/>
      <c r="AF217"/>
      <c r="AG217"/>
      <c r="AH217"/>
      <c r="AI217"/>
      <c r="AJ217"/>
      <c r="AK217"/>
      <c r="AL217"/>
      <c r="AM217"/>
      <c r="AN217"/>
      <c r="AO217"/>
      <c r="AP217"/>
      <c r="AQ217"/>
      <c r="AR217"/>
      <c r="AS217"/>
      <c r="AT217"/>
      <c r="AU217"/>
      <c r="AV217"/>
      <c r="AW217"/>
      <c r="AX217"/>
      <c r="AY217"/>
      <c r="AZ217"/>
      <c r="BA217"/>
    </row>
    <row r="218" spans="1:53" s="76" customFormat="1" ht="15.75">
      <c r="A218" s="25"/>
      <c r="B218" s="25"/>
      <c r="C218" s="403" t="s">
        <v>197</v>
      </c>
      <c r="D218" s="416">
        <f>-SUM(F218:AC218)/1000</f>
        <v>0</v>
      </c>
      <c r="E218" s="25"/>
      <c r="F218" s="422">
        <f t="shared" ref="F218:AC218" si="87">F197*F$183</f>
        <v>0</v>
      </c>
      <c r="G218" s="422">
        <f t="shared" si="87"/>
        <v>0</v>
      </c>
      <c r="H218" s="422">
        <f t="shared" si="87"/>
        <v>0</v>
      </c>
      <c r="I218" s="422">
        <f t="shared" si="87"/>
        <v>0</v>
      </c>
      <c r="J218" s="422">
        <f t="shared" si="87"/>
        <v>0</v>
      </c>
      <c r="K218" s="422">
        <f t="shared" si="87"/>
        <v>0</v>
      </c>
      <c r="L218" s="422">
        <f t="shared" si="87"/>
        <v>0</v>
      </c>
      <c r="M218" s="422">
        <f t="shared" si="87"/>
        <v>0</v>
      </c>
      <c r="N218" s="422">
        <f t="shared" si="87"/>
        <v>0</v>
      </c>
      <c r="O218" s="422">
        <f t="shared" si="87"/>
        <v>0</v>
      </c>
      <c r="P218" s="422">
        <f t="shared" si="87"/>
        <v>0</v>
      </c>
      <c r="Q218" s="422">
        <f t="shared" si="87"/>
        <v>0</v>
      </c>
      <c r="R218" s="422">
        <f t="shared" si="87"/>
        <v>0</v>
      </c>
      <c r="S218" s="422">
        <f t="shared" si="87"/>
        <v>0</v>
      </c>
      <c r="T218" s="422">
        <f t="shared" si="87"/>
        <v>0</v>
      </c>
      <c r="U218" s="422">
        <f t="shared" si="87"/>
        <v>0</v>
      </c>
      <c r="V218" s="422">
        <f t="shared" si="87"/>
        <v>0</v>
      </c>
      <c r="W218" s="422">
        <f t="shared" si="87"/>
        <v>0</v>
      </c>
      <c r="X218" s="422">
        <f t="shared" si="87"/>
        <v>0</v>
      </c>
      <c r="Y218" s="422">
        <f t="shared" si="87"/>
        <v>0</v>
      </c>
      <c r="Z218" s="422">
        <f t="shared" si="87"/>
        <v>0</v>
      </c>
      <c r="AA218" s="422">
        <f t="shared" si="87"/>
        <v>0</v>
      </c>
      <c r="AB218" s="422">
        <f t="shared" si="87"/>
        <v>0</v>
      </c>
      <c r="AC218" s="422">
        <f t="shared" si="87"/>
        <v>0</v>
      </c>
      <c r="AD218" s="335"/>
      <c r="AE218"/>
      <c r="AF218"/>
      <c r="AG218"/>
      <c r="AH218"/>
      <c r="AI218"/>
      <c r="AJ218"/>
      <c r="AK218"/>
      <c r="AL218"/>
      <c r="AM218"/>
      <c r="AN218"/>
      <c r="AO218"/>
      <c r="AP218"/>
      <c r="AQ218"/>
      <c r="AR218"/>
      <c r="AS218"/>
      <c r="AT218"/>
      <c r="AU218"/>
      <c r="AV218"/>
      <c r="AW218"/>
      <c r="AX218"/>
      <c r="AY218"/>
      <c r="AZ218"/>
      <c r="BA218"/>
    </row>
    <row r="219" spans="1:53" s="76" customFormat="1" ht="15.75">
      <c r="A219" s="25"/>
      <c r="B219" s="25"/>
      <c r="C219" s="404" t="s">
        <v>546</v>
      </c>
      <c r="D219" s="416">
        <f>-SUM(F219:AC219)/1000</f>
        <v>0</v>
      </c>
      <c r="E219" s="25"/>
      <c r="F219" s="422">
        <f t="shared" ref="F219:AC219" si="88">F198*F$183</f>
        <v>0</v>
      </c>
      <c r="G219" s="422">
        <f t="shared" si="88"/>
        <v>0</v>
      </c>
      <c r="H219" s="422">
        <f t="shared" si="88"/>
        <v>0</v>
      </c>
      <c r="I219" s="422">
        <f t="shared" si="88"/>
        <v>0</v>
      </c>
      <c r="J219" s="422">
        <f t="shared" si="88"/>
        <v>0</v>
      </c>
      <c r="K219" s="422">
        <f t="shared" si="88"/>
        <v>0</v>
      </c>
      <c r="L219" s="422">
        <f t="shared" si="88"/>
        <v>0</v>
      </c>
      <c r="M219" s="422">
        <f t="shared" si="88"/>
        <v>0</v>
      </c>
      <c r="N219" s="422">
        <f t="shared" si="88"/>
        <v>0</v>
      </c>
      <c r="O219" s="422">
        <f t="shared" si="88"/>
        <v>0</v>
      </c>
      <c r="P219" s="422">
        <f t="shared" si="88"/>
        <v>0</v>
      </c>
      <c r="Q219" s="422">
        <f t="shared" si="88"/>
        <v>0</v>
      </c>
      <c r="R219" s="422">
        <f t="shared" si="88"/>
        <v>0</v>
      </c>
      <c r="S219" s="422">
        <f t="shared" si="88"/>
        <v>0</v>
      </c>
      <c r="T219" s="422">
        <f t="shared" si="88"/>
        <v>0</v>
      </c>
      <c r="U219" s="422">
        <f t="shared" si="88"/>
        <v>0</v>
      </c>
      <c r="V219" s="422">
        <f t="shared" si="88"/>
        <v>0</v>
      </c>
      <c r="W219" s="422">
        <f t="shared" si="88"/>
        <v>0</v>
      </c>
      <c r="X219" s="422">
        <f t="shared" si="88"/>
        <v>0</v>
      </c>
      <c r="Y219" s="422">
        <f t="shared" si="88"/>
        <v>0</v>
      </c>
      <c r="Z219" s="422">
        <f t="shared" si="88"/>
        <v>0</v>
      </c>
      <c r="AA219" s="422">
        <f t="shared" si="88"/>
        <v>0</v>
      </c>
      <c r="AB219" s="422">
        <f t="shared" si="88"/>
        <v>0</v>
      </c>
      <c r="AC219" s="422">
        <f t="shared" si="88"/>
        <v>0</v>
      </c>
      <c r="AD219" s="335"/>
      <c r="AE219"/>
      <c r="AF219"/>
      <c r="AG219"/>
      <c r="AH219"/>
      <c r="AI219"/>
      <c r="AJ219"/>
      <c r="AK219"/>
      <c r="AL219"/>
      <c r="AM219"/>
      <c r="AN219"/>
      <c r="AO219"/>
      <c r="AP219"/>
      <c r="AQ219"/>
      <c r="AR219"/>
      <c r="AS219"/>
      <c r="AT219"/>
      <c r="AU219"/>
      <c r="AV219"/>
      <c r="AW219"/>
      <c r="AX219"/>
      <c r="AY219"/>
      <c r="AZ219"/>
      <c r="BA219"/>
    </row>
    <row r="220" spans="1:53" s="76" customFormat="1" ht="15.75">
      <c r="A220" s="25"/>
      <c r="B220" s="25"/>
      <c r="C220" s="403" t="s">
        <v>198</v>
      </c>
      <c r="D220" s="416">
        <f>-SUM(F220:AC220)/1000</f>
        <v>266.7650467729427</v>
      </c>
      <c r="E220" s="25"/>
      <c r="F220" s="422">
        <f t="shared" ref="F220:AC220" si="89">F199*F$183</f>
        <v>0</v>
      </c>
      <c r="G220" s="422">
        <f t="shared" si="89"/>
        <v>-3765.5075660555435</v>
      </c>
      <c r="H220" s="422">
        <f t="shared" si="89"/>
        <v>-14790.199595531714</v>
      </c>
      <c r="I220" s="422">
        <f t="shared" si="89"/>
        <v>-14521.426055776379</v>
      </c>
      <c r="J220" s="422">
        <f t="shared" si="89"/>
        <v>-14255.762163604135</v>
      </c>
      <c r="K220" s="422">
        <f t="shared" si="89"/>
        <v>-13993.254784850731</v>
      </c>
      <c r="L220" s="422">
        <f t="shared" si="89"/>
        <v>-13733.945417276238</v>
      </c>
      <c r="M220" s="422">
        <f t="shared" si="89"/>
        <v>-13477.870463510541</v>
      </c>
      <c r="N220" s="422">
        <f t="shared" si="89"/>
        <v>-13172.166169930149</v>
      </c>
      <c r="O220" s="422">
        <f t="shared" si="89"/>
        <v>-12872.836126445063</v>
      </c>
      <c r="P220" s="422">
        <f t="shared" si="89"/>
        <v>-12579.768357570634</v>
      </c>
      <c r="Q220" s="422">
        <f t="shared" si="89"/>
        <v>-12292.85200315811</v>
      </c>
      <c r="R220" s="422">
        <f t="shared" si="89"/>
        <v>-12011.977348416505</v>
      </c>
      <c r="S220" s="422">
        <f t="shared" si="89"/>
        <v>-11737.035851239416</v>
      </c>
      <c r="T220" s="422">
        <f t="shared" si="89"/>
        <v>-11467.920166968317</v>
      </c>
      <c r="U220" s="422">
        <f t="shared" si="89"/>
        <v>-11204.524170718558</v>
      </c>
      <c r="V220" s="422">
        <f t="shared" si="89"/>
        <v>-10946.742977388925</v>
      </c>
      <c r="W220" s="422">
        <f t="shared" si="89"/>
        <v>-10694.472959470855</v>
      </c>
      <c r="X220" s="422">
        <f t="shared" si="89"/>
        <v>-10451.902192444724</v>
      </c>
      <c r="Y220" s="422">
        <f t="shared" si="89"/>
        <v>-10214.389251546123</v>
      </c>
      <c r="Z220" s="422">
        <f t="shared" si="89"/>
        <v>-9981.8452877182444</v>
      </c>
      <c r="AA220" s="422">
        <f t="shared" si="89"/>
        <v>-9754.1823368399091</v>
      </c>
      <c r="AB220" s="422">
        <f t="shared" si="89"/>
        <v>-9531.3133435497875</v>
      </c>
      <c r="AC220" s="422">
        <f t="shared" si="89"/>
        <v>-9313.1521829320882</v>
      </c>
      <c r="AD220" s="335"/>
      <c r="AE220"/>
      <c r="AF220"/>
      <c r="AG220"/>
      <c r="AH220"/>
      <c r="AI220"/>
      <c r="AJ220"/>
      <c r="AK220"/>
      <c r="AL220"/>
      <c r="AM220"/>
      <c r="AN220"/>
      <c r="AO220"/>
      <c r="AP220"/>
      <c r="AQ220"/>
      <c r="AR220"/>
      <c r="AS220"/>
      <c r="AT220"/>
      <c r="AU220"/>
      <c r="AV220"/>
      <c r="AW220"/>
      <c r="AX220"/>
      <c r="AY220"/>
      <c r="AZ220"/>
      <c r="BA220"/>
    </row>
    <row r="221" spans="1:53" s="76" customFormat="1" ht="15.75">
      <c r="A221" s="25"/>
      <c r="B221" s="25"/>
      <c r="C221" s="402"/>
      <c r="D221" s="417"/>
      <c r="E221" s="25"/>
      <c r="F221" s="414">
        <f>SUM(F217:F220)</f>
        <v>-36407.76699029126</v>
      </c>
      <c r="G221" s="414">
        <f t="shared" ref="G221:AC221" si="90">SUM(G217:G220)</f>
        <v>-637896.90543578879</v>
      </c>
      <c r="H221" s="414">
        <f t="shared" si="90"/>
        <v>-14790.199595531714</v>
      </c>
      <c r="I221" s="414">
        <f t="shared" si="90"/>
        <v>-14521.426055776379</v>
      </c>
      <c r="J221" s="414">
        <f t="shared" si="90"/>
        <v>-14255.762163604135</v>
      </c>
      <c r="K221" s="414">
        <f t="shared" si="90"/>
        <v>-13993.254784850731</v>
      </c>
      <c r="L221" s="414">
        <f t="shared" si="90"/>
        <v>-13733.945417276238</v>
      </c>
      <c r="M221" s="414">
        <f t="shared" si="90"/>
        <v>-13477.870463510541</v>
      </c>
      <c r="N221" s="414">
        <f t="shared" si="90"/>
        <v>-13172.166169930149</v>
      </c>
      <c r="O221" s="414">
        <f t="shared" si="90"/>
        <v>-12872.836126445063</v>
      </c>
      <c r="P221" s="414">
        <f t="shared" si="90"/>
        <v>-12579.768357570634</v>
      </c>
      <c r="Q221" s="414">
        <f t="shared" si="90"/>
        <v>-12292.85200315811</v>
      </c>
      <c r="R221" s="414">
        <f t="shared" si="90"/>
        <v>-12011.977348416505</v>
      </c>
      <c r="S221" s="414">
        <f t="shared" si="90"/>
        <v>-11737.035851239416</v>
      </c>
      <c r="T221" s="414">
        <f t="shared" si="90"/>
        <v>-11467.920166968317</v>
      </c>
      <c r="U221" s="414">
        <f t="shared" si="90"/>
        <v>-11204.524170718558</v>
      </c>
      <c r="V221" s="414">
        <f t="shared" si="90"/>
        <v>-10946.742977388925</v>
      </c>
      <c r="W221" s="414">
        <f t="shared" si="90"/>
        <v>-10694.472959470855</v>
      </c>
      <c r="X221" s="414">
        <f t="shared" si="90"/>
        <v>-10451.902192444724</v>
      </c>
      <c r="Y221" s="414">
        <f t="shared" si="90"/>
        <v>-10214.389251546123</v>
      </c>
      <c r="Z221" s="414">
        <f t="shared" si="90"/>
        <v>-9981.8452877182444</v>
      </c>
      <c r="AA221" s="414">
        <f t="shared" si="90"/>
        <v>-9754.1823368399091</v>
      </c>
      <c r="AB221" s="414">
        <f t="shared" si="90"/>
        <v>-9531.3133435497875</v>
      </c>
      <c r="AC221" s="414">
        <f t="shared" si="90"/>
        <v>-9313.1521829320882</v>
      </c>
      <c r="AD221" s="335"/>
      <c r="AE221"/>
      <c r="AF221"/>
      <c r="AG221"/>
      <c r="AH221"/>
      <c r="AI221"/>
      <c r="AJ221"/>
      <c r="AK221"/>
      <c r="AL221"/>
      <c r="AM221"/>
      <c r="AN221"/>
      <c r="AO221"/>
      <c r="AP221"/>
      <c r="AQ221"/>
      <c r="AR221"/>
      <c r="AS221"/>
      <c r="AT221"/>
      <c r="AU221"/>
      <c r="AV221"/>
      <c r="AW221"/>
      <c r="AX221"/>
      <c r="AY221"/>
      <c r="AZ221"/>
      <c r="BA221"/>
    </row>
    <row r="222" spans="1:53" s="76" customFormat="1" ht="15.75">
      <c r="A222" s="25"/>
      <c r="B222" s="25"/>
      <c r="C222" s="401" t="s">
        <v>0</v>
      </c>
      <c r="D222" s="418">
        <f>SUM(D223:D229)</f>
        <v>2793.6558366049335</v>
      </c>
      <c r="E222" s="25"/>
      <c r="F222" s="406"/>
      <c r="G222" s="406"/>
      <c r="H222" s="406"/>
      <c r="I222" s="406"/>
      <c r="J222" s="406"/>
      <c r="K222" s="406"/>
      <c r="L222" s="406"/>
      <c r="M222" s="406"/>
      <c r="N222" s="406"/>
      <c r="O222" s="406"/>
      <c r="P222" s="406"/>
      <c r="Q222" s="406"/>
      <c r="R222" s="406"/>
      <c r="S222" s="406"/>
      <c r="T222" s="406"/>
      <c r="U222" s="406"/>
      <c r="V222" s="406"/>
      <c r="W222" s="406"/>
      <c r="X222" s="406"/>
      <c r="Y222" s="406"/>
      <c r="Z222" s="406"/>
      <c r="AA222" s="406"/>
      <c r="AB222" s="406"/>
      <c r="AC222" s="406"/>
      <c r="AD222" s="335"/>
      <c r="AE222"/>
      <c r="AF222"/>
      <c r="AG222"/>
      <c r="AH222"/>
      <c r="AI222"/>
      <c r="AJ222"/>
      <c r="AK222"/>
      <c r="AL222"/>
      <c r="AM222"/>
      <c r="AN222"/>
      <c r="AO222"/>
      <c r="AP222"/>
      <c r="AQ222"/>
      <c r="AR222"/>
      <c r="AS222"/>
      <c r="AT222"/>
      <c r="AU222"/>
      <c r="AV222"/>
      <c r="AW222"/>
      <c r="AX222"/>
      <c r="AY222"/>
      <c r="AZ222"/>
      <c r="BA222"/>
    </row>
    <row r="223" spans="1:53" s="76" customFormat="1" ht="15.75">
      <c r="A223" s="25"/>
      <c r="B223"/>
      <c r="C223" s="403" t="s">
        <v>577</v>
      </c>
      <c r="D223" s="416">
        <f t="shared" ref="D223:D229" si="91">SUM(F223:AC223)/1000</f>
        <v>746.34587515318754</v>
      </c>
      <c r="E223" s="25"/>
      <c r="F223" s="424">
        <f t="shared" ref="F223:AC223" si="92">F202*F$183</f>
        <v>0</v>
      </c>
      <c r="G223" s="424">
        <f t="shared" si="92"/>
        <v>10320.60515151119</v>
      </c>
      <c r="H223" s="424">
        <f t="shared" si="92"/>
        <v>40614.203139655787</v>
      </c>
      <c r="I223" s="424">
        <f t="shared" si="92"/>
        <v>39952.093132225491</v>
      </c>
      <c r="J223" s="424">
        <f t="shared" si="92"/>
        <v>39296.259724174291</v>
      </c>
      <c r="K223" s="424">
        <f t="shared" si="92"/>
        <v>38646.857896588976</v>
      </c>
      <c r="L223" s="424">
        <f t="shared" si="92"/>
        <v>38004.029133534073</v>
      </c>
      <c r="M223" s="424">
        <f t="shared" si="92"/>
        <v>37367.902058221873</v>
      </c>
      <c r="N223" s="424">
        <f t="shared" si="92"/>
        <v>36591.652348364696</v>
      </c>
      <c r="O223" s="424">
        <f t="shared" si="92"/>
        <v>35830.324974189265</v>
      </c>
      <c r="P223" s="424">
        <f t="shared" si="92"/>
        <v>35083.682752080691</v>
      </c>
      <c r="Q223" s="424">
        <f t="shared" si="92"/>
        <v>34351.490203982095</v>
      </c>
      <c r="R223" s="424">
        <f t="shared" si="92"/>
        <v>33633.513647391286</v>
      </c>
      <c r="S223" s="424">
        <f t="shared" si="92"/>
        <v>32929.521278934299</v>
      </c>
      <c r="T223" s="424">
        <f t="shared" si="92"/>
        <v>32239.283251807141</v>
      </c>
      <c r="U223" s="424">
        <f t="shared" si="92"/>
        <v>31562.571747366226</v>
      </c>
      <c r="V223" s="424">
        <f t="shared" si="92"/>
        <v>30899.161041136707</v>
      </c>
      <c r="W223" s="424">
        <f t="shared" si="92"/>
        <v>30248.827563497696</v>
      </c>
      <c r="X223" s="424">
        <f t="shared" si="92"/>
        <v>29623.510190328929</v>
      </c>
      <c r="Y223" s="424">
        <f t="shared" si="92"/>
        <v>29010.170027812226</v>
      </c>
      <c r="Z223" s="424">
        <f t="shared" si="92"/>
        <v>28408.617490092474</v>
      </c>
      <c r="AA223" s="424">
        <f t="shared" si="92"/>
        <v>27818.664333787616</v>
      </c>
      <c r="AB223" s="424">
        <f t="shared" si="92"/>
        <v>27240.12373076213</v>
      </c>
      <c r="AC223" s="424">
        <f t="shared" si="92"/>
        <v>26672.81033574235</v>
      </c>
      <c r="AD223" s="335"/>
      <c r="AE223"/>
      <c r="AF223"/>
      <c r="AG223"/>
      <c r="AH223"/>
      <c r="AI223"/>
      <c r="AJ223"/>
      <c r="AK223"/>
      <c r="AL223"/>
      <c r="AM223"/>
      <c r="AN223"/>
      <c r="AO223"/>
      <c r="AP223"/>
      <c r="AQ223"/>
      <c r="AR223"/>
      <c r="AS223"/>
      <c r="AT223"/>
      <c r="AU223"/>
      <c r="AV223"/>
      <c r="AW223"/>
      <c r="AX223"/>
      <c r="AY223"/>
      <c r="AZ223"/>
      <c r="BA223"/>
    </row>
    <row r="224" spans="1:53" s="76" customFormat="1" ht="15.75">
      <c r="A224" s="25"/>
      <c r="B224" s="25"/>
      <c r="C224" s="403" t="s">
        <v>578</v>
      </c>
      <c r="D224" s="416">
        <f t="shared" si="91"/>
        <v>628.26407757334709</v>
      </c>
      <c r="E224" s="25"/>
      <c r="F224" s="422">
        <f t="shared" ref="F224:AC224" si="93">F203*F$183</f>
        <v>0</v>
      </c>
      <c r="G224" s="422">
        <f t="shared" si="93"/>
        <v>8868.2275515537876</v>
      </c>
      <c r="H224" s="422">
        <f t="shared" si="93"/>
        <v>34832.715973923863</v>
      </c>
      <c r="I224" s="422">
        <f t="shared" si="93"/>
        <v>34199.721651492117</v>
      </c>
      <c r="J224" s="422">
        <f t="shared" si="93"/>
        <v>33574.050926713084</v>
      </c>
      <c r="K224" s="422">
        <f t="shared" si="93"/>
        <v>32955.814174320694</v>
      </c>
      <c r="L224" s="422">
        <f t="shared" si="93"/>
        <v>32345.109126578896</v>
      </c>
      <c r="M224" s="422">
        <f t="shared" si="93"/>
        <v>31742.021516101267</v>
      </c>
      <c r="N224" s="422">
        <f t="shared" si="93"/>
        <v>31022.050784028681</v>
      </c>
      <c r="O224" s="422">
        <f t="shared" si="93"/>
        <v>30317.092184935253</v>
      </c>
      <c r="P224" s="422">
        <f t="shared" si="93"/>
        <v>29626.882002957809</v>
      </c>
      <c r="Q224" s="422">
        <f t="shared" si="93"/>
        <v>28951.159148984672</v>
      </c>
      <c r="R224" s="422">
        <f t="shared" si="93"/>
        <v>28289.665231360726</v>
      </c>
      <c r="S224" s="422">
        <f t="shared" si="93"/>
        <v>27642.144620245497</v>
      </c>
      <c r="T224" s="422">
        <f t="shared" si="93"/>
        <v>27008.34450593363</v>
      </c>
      <c r="U224" s="422">
        <f t="shared" si="93"/>
        <v>26388.014951435365</v>
      </c>
      <c r="V224" s="422">
        <f t="shared" si="93"/>
        <v>25780.908939601497</v>
      </c>
      <c r="W224" s="422">
        <f t="shared" si="93"/>
        <v>25186.78241506618</v>
      </c>
      <c r="X224" s="422">
        <f t="shared" si="93"/>
        <v>24615.498804130279</v>
      </c>
      <c r="Y224" s="422">
        <f t="shared" si="93"/>
        <v>24056.126987880292</v>
      </c>
      <c r="Z224" s="422">
        <f t="shared" si="93"/>
        <v>23508.457715998793</v>
      </c>
      <c r="AA224" s="422">
        <f t="shared" si="93"/>
        <v>22972.2838222992</v>
      </c>
      <c r="AB224" s="422">
        <f t="shared" si="93"/>
        <v>22447.400280834721</v>
      </c>
      <c r="AC224" s="422">
        <f t="shared" si="93"/>
        <v>21933.604256970808</v>
      </c>
      <c r="AD224" s="335"/>
      <c r="AE224"/>
      <c r="AF224"/>
      <c r="AG224"/>
      <c r="AH224"/>
      <c r="AI224"/>
      <c r="AJ224"/>
      <c r="AK224"/>
      <c r="AL224"/>
      <c r="AM224"/>
      <c r="AN224"/>
      <c r="AO224"/>
      <c r="AP224"/>
      <c r="AQ224"/>
      <c r="AR224"/>
      <c r="AS224"/>
      <c r="AT224"/>
      <c r="AU224"/>
      <c r="AV224"/>
      <c r="AW224"/>
      <c r="AX224"/>
      <c r="AY224"/>
      <c r="AZ224"/>
      <c r="BA224"/>
    </row>
    <row r="225" spans="1:53" s="76" customFormat="1" ht="15.75">
      <c r="A225" s="25"/>
      <c r="B225" s="25"/>
      <c r="C225" s="403" t="s">
        <v>199</v>
      </c>
      <c r="D225" s="416">
        <f t="shared" si="91"/>
        <v>102.57192360648611</v>
      </c>
      <c r="E225" s="25"/>
      <c r="F225" s="422">
        <f t="shared" ref="F225:AC225" si="94">F204*F$183</f>
        <v>0</v>
      </c>
      <c r="G225" s="422">
        <f t="shared" si="94"/>
        <v>1394.2485267484819</v>
      </c>
      <c r="H225" s="422">
        <f t="shared" si="94"/>
        <v>5495.5496442156591</v>
      </c>
      <c r="I225" s="422">
        <f t="shared" si="94"/>
        <v>5414.6692390171529</v>
      </c>
      <c r="J225" s="422">
        <f t="shared" si="94"/>
        <v>5334.3786363668796</v>
      </c>
      <c r="K225" s="422">
        <f t="shared" si="94"/>
        <v>5254.701821687283</v>
      </c>
      <c r="L225" s="422">
        <f t="shared" si="94"/>
        <v>5175.6610967581792</v>
      </c>
      <c r="M225" s="422">
        <f t="shared" si="94"/>
        <v>5097.2771527982432</v>
      </c>
      <c r="N225" s="422">
        <f t="shared" si="94"/>
        <v>4999.4927328764597</v>
      </c>
      <c r="O225" s="422">
        <f t="shared" si="94"/>
        <v>4903.431401031442</v>
      </c>
      <c r="P225" s="422">
        <f t="shared" si="94"/>
        <v>4809.0691267344901</v>
      </c>
      <c r="Q225" s="422">
        <f t="shared" si="94"/>
        <v>4716.3819545843298</v>
      </c>
      <c r="R225" s="422">
        <f t="shared" si="94"/>
        <v>4625.3460173512822</v>
      </c>
      <c r="S225" s="422">
        <f t="shared" si="94"/>
        <v>4535.9375482643754</v>
      </c>
      <c r="T225" s="422">
        <f t="shared" si="94"/>
        <v>4448.1328925728503</v>
      </c>
      <c r="U225" s="422">
        <f t="shared" si="94"/>
        <v>4361.9085184124788</v>
      </c>
      <c r="V225" s="422">
        <f t="shared" si="94"/>
        <v>4277.2410270058635</v>
      </c>
      <c r="W225" s="422">
        <f t="shared" si="94"/>
        <v>4194.107162224931</v>
      </c>
      <c r="X225" s="422">
        <f t="shared" si="94"/>
        <v>4114.1726574343857</v>
      </c>
      <c r="Y225" s="422">
        <f t="shared" si="94"/>
        <v>4035.639551862972</v>
      </c>
      <c r="Z225" s="422">
        <f t="shared" si="94"/>
        <v>3958.4884310227631</v>
      </c>
      <c r="AA225" s="422">
        <f t="shared" si="94"/>
        <v>3882.6999373439271</v>
      </c>
      <c r="AB225" s="422">
        <f t="shared" si="94"/>
        <v>3808.2547808649347</v>
      </c>
      <c r="AC225" s="422">
        <f t="shared" si="94"/>
        <v>3735.1337493067308</v>
      </c>
      <c r="AD225" s="335"/>
      <c r="AE225"/>
      <c r="AF225"/>
      <c r="AG225"/>
      <c r="AH225"/>
      <c r="AI225"/>
      <c r="AJ225"/>
      <c r="AK225"/>
      <c r="AL225"/>
      <c r="AM225"/>
      <c r="AN225"/>
      <c r="AO225"/>
      <c r="AP225"/>
      <c r="AQ225"/>
      <c r="AR225"/>
      <c r="AS225"/>
      <c r="AT225"/>
      <c r="AU225"/>
      <c r="AV225"/>
      <c r="AW225"/>
      <c r="AX225"/>
      <c r="AY225"/>
      <c r="AZ225"/>
      <c r="BA225"/>
    </row>
    <row r="226" spans="1:53" s="76" customFormat="1" ht="15.75">
      <c r="A226" s="25"/>
      <c r="B226"/>
      <c r="C226" s="403" t="s">
        <v>200</v>
      </c>
      <c r="D226" s="416">
        <f t="shared" si="91"/>
        <v>36.650920574707307</v>
      </c>
      <c r="E226" s="25"/>
      <c r="F226" s="422">
        <f t="shared" ref="F226:AC226" si="95">F205*F$183</f>
        <v>0</v>
      </c>
      <c r="G226" s="422">
        <f t="shared" si="95"/>
        <v>517.34408385378879</v>
      </c>
      <c r="H226" s="422">
        <f t="shared" si="95"/>
        <v>2032.0294477008008</v>
      </c>
      <c r="I226" s="422">
        <f t="shared" si="95"/>
        <v>1995.1025797421948</v>
      </c>
      <c r="J226" s="422">
        <f t="shared" si="95"/>
        <v>1958.60294709032</v>
      </c>
      <c r="K226" s="422">
        <f t="shared" si="95"/>
        <v>1922.536988654789</v>
      </c>
      <c r="L226" s="422">
        <f t="shared" si="95"/>
        <v>1886.9104058238693</v>
      </c>
      <c r="M226" s="422">
        <f t="shared" si="95"/>
        <v>1851.7281999645429</v>
      </c>
      <c r="N226" s="422">
        <f t="shared" si="95"/>
        <v>1809.7274059366111</v>
      </c>
      <c r="O226" s="422">
        <f t="shared" si="95"/>
        <v>1768.6023718209797</v>
      </c>
      <c r="P226" s="422">
        <f t="shared" si="95"/>
        <v>1728.3377132760913</v>
      </c>
      <c r="Q226" s="422">
        <f t="shared" si="95"/>
        <v>1688.9181991966914</v>
      </c>
      <c r="R226" s="422">
        <f t="shared" si="95"/>
        <v>1650.3287558385252</v>
      </c>
      <c r="S226" s="422">
        <f t="shared" si="95"/>
        <v>1612.5544705727891</v>
      </c>
      <c r="T226" s="422">
        <f t="shared" si="95"/>
        <v>1575.5805952883586</v>
      </c>
      <c r="U226" s="422">
        <f t="shared" si="95"/>
        <v>1539.3925494591667</v>
      </c>
      <c r="V226" s="422">
        <f t="shared" si="95"/>
        <v>1503.9759228933215</v>
      </c>
      <c r="W226" s="422">
        <f t="shared" si="95"/>
        <v>1469.316478179918</v>
      </c>
      <c r="X226" s="422">
        <f t="shared" si="95"/>
        <v>1435.989616120708</v>
      </c>
      <c r="Y226" s="422">
        <f t="shared" si="95"/>
        <v>1403.3576501354898</v>
      </c>
      <c r="Z226" s="422">
        <f t="shared" si="95"/>
        <v>1371.4083732287686</v>
      </c>
      <c r="AA226" s="422">
        <f t="shared" si="95"/>
        <v>1340.1296999865906</v>
      </c>
      <c r="AB226" s="422">
        <f t="shared" si="95"/>
        <v>1309.5096698497568</v>
      </c>
      <c r="AC226" s="422">
        <f t="shared" si="95"/>
        <v>1279.536450093231</v>
      </c>
      <c r="AD226" s="335"/>
      <c r="AE226"/>
      <c r="AF226"/>
      <c r="AG226"/>
      <c r="AH226"/>
      <c r="AI226"/>
      <c r="AJ226"/>
      <c r="AK226"/>
      <c r="AL226"/>
      <c r="AM226"/>
      <c r="AN226"/>
      <c r="AO226"/>
      <c r="AP226"/>
      <c r="AQ226"/>
      <c r="AR226"/>
      <c r="AS226"/>
      <c r="AT226"/>
      <c r="AU226"/>
      <c r="AV226"/>
      <c r="AW226"/>
      <c r="AX226"/>
      <c r="AY226"/>
      <c r="AZ226"/>
      <c r="BA226"/>
    </row>
    <row r="227" spans="1:53" ht="15.75">
      <c r="C227" s="403" t="s">
        <v>201</v>
      </c>
      <c r="D227" s="416">
        <f t="shared" si="91"/>
        <v>183.14131658833952</v>
      </c>
      <c r="F227" s="422">
        <f t="shared" ref="F227:AC227" si="96">F206*F$183</f>
        <v>0</v>
      </c>
      <c r="G227" s="422">
        <f t="shared" si="96"/>
        <v>3638.8680531488203</v>
      </c>
      <c r="H227" s="422">
        <f t="shared" si="96"/>
        <v>13656.552358832058</v>
      </c>
      <c r="I227" s="422">
        <f t="shared" si="96"/>
        <v>12791.555989610924</v>
      </c>
      <c r="J227" s="422">
        <f t="shared" si="96"/>
        <v>12037.127494741353</v>
      </c>
      <c r="K227" s="422">
        <f t="shared" si="96"/>
        <v>11253.260978981438</v>
      </c>
      <c r="L227" s="422">
        <f t="shared" si="96"/>
        <v>10470.842705264757</v>
      </c>
      <c r="M227" s="422">
        <f t="shared" si="96"/>
        <v>9688.3157186254739</v>
      </c>
      <c r="N227" s="422">
        <f t="shared" si="96"/>
        <v>8953.1806110932266</v>
      </c>
      <c r="O227" s="422">
        <f t="shared" si="96"/>
        <v>8316.7033989650918</v>
      </c>
      <c r="P227" s="422">
        <f t="shared" si="96"/>
        <v>8052.1053355005615</v>
      </c>
      <c r="Q227" s="422">
        <f t="shared" si="96"/>
        <v>7793.4942143877497</v>
      </c>
      <c r="R227" s="422">
        <f t="shared" si="96"/>
        <v>7543.1590028345818</v>
      </c>
      <c r="S227" s="422">
        <f t="shared" si="96"/>
        <v>7298.5672649554153</v>
      </c>
      <c r="T227" s="422">
        <f t="shared" si="96"/>
        <v>7061.8417344381869</v>
      </c>
      <c r="U227" s="422">
        <f t="shared" si="96"/>
        <v>6830.6223194174263</v>
      </c>
      <c r="V227" s="422">
        <f t="shared" si="96"/>
        <v>6606.8756618495972</v>
      </c>
      <c r="W227" s="422">
        <f t="shared" si="96"/>
        <v>6388.404070338087</v>
      </c>
      <c r="X227" s="422">
        <f t="shared" si="96"/>
        <v>6178.7350737296756</v>
      </c>
      <c r="Y227" s="422">
        <f t="shared" si="96"/>
        <v>5975.7418342323635</v>
      </c>
      <c r="Z227" s="422">
        <f t="shared" si="96"/>
        <v>5842.9601837436785</v>
      </c>
      <c r="AA227" s="422">
        <f t="shared" si="96"/>
        <v>5713.7464955926407</v>
      </c>
      <c r="AB227" s="422">
        <f t="shared" si="96"/>
        <v>5586.3218879212764</v>
      </c>
      <c r="AC227" s="422">
        <f t="shared" si="96"/>
        <v>5462.3342001351075</v>
      </c>
    </row>
    <row r="228" spans="1:53" ht="15.75">
      <c r="C228" s="403" t="s">
        <v>579</v>
      </c>
      <c r="D228" s="416">
        <f t="shared" si="91"/>
        <v>0.55595951539008781</v>
      </c>
      <c r="F228" s="422">
        <f t="shared" ref="F228:AC228" si="97">F207*F$183</f>
        <v>0</v>
      </c>
      <c r="G228" s="422">
        <f t="shared" si="97"/>
        <v>7.8476164210666175</v>
      </c>
      <c r="H228" s="422">
        <f t="shared" si="97"/>
        <v>30.823949011031001</v>
      </c>
      <c r="I228" s="422">
        <f t="shared" si="97"/>
        <v>30.263803636966159</v>
      </c>
      <c r="J228" s="422">
        <f t="shared" si="97"/>
        <v>29.710139015099717</v>
      </c>
      <c r="K228" s="422">
        <f t="shared" si="97"/>
        <v>29.163052817550437</v>
      </c>
      <c r="L228" s="422">
        <f t="shared" si="97"/>
        <v>28.622631528941621</v>
      </c>
      <c r="M228" s="422">
        <f t="shared" si="97"/>
        <v>28.088951015241136</v>
      </c>
      <c r="N228" s="422">
        <f t="shared" si="97"/>
        <v>27.451839021118897</v>
      </c>
      <c r="O228" s="422">
        <f t="shared" si="97"/>
        <v>26.828011469755666</v>
      </c>
      <c r="P228" s="422">
        <f t="shared" si="97"/>
        <v>26.217234995360339</v>
      </c>
      <c r="Q228" s="422">
        <f t="shared" si="97"/>
        <v>25.619278556590281</v>
      </c>
      <c r="R228" s="422">
        <f t="shared" si="97"/>
        <v>25.033913499119269</v>
      </c>
      <c r="S228" s="422">
        <f t="shared" si="97"/>
        <v>24.460913612588769</v>
      </c>
      <c r="T228" s="422">
        <f t="shared" si="97"/>
        <v>23.90005518221659</v>
      </c>
      <c r="U228" s="422">
        <f t="shared" si="97"/>
        <v>23.351117035326062</v>
      </c>
      <c r="V228" s="422">
        <f t="shared" si="97"/>
        <v>22.813880583047499</v>
      </c>
      <c r="W228" s="422">
        <f t="shared" si="97"/>
        <v>22.288129857434051</v>
      </c>
      <c r="X228" s="422">
        <f t="shared" si="97"/>
        <v>21.782593139955338</v>
      </c>
      <c r="Y228" s="422">
        <f t="shared" si="97"/>
        <v>21.287597333277361</v>
      </c>
      <c r="Z228" s="422">
        <f t="shared" si="97"/>
        <v>20.802957268918856</v>
      </c>
      <c r="AA228" s="422">
        <f t="shared" si="97"/>
        <v>20.328489622674606</v>
      </c>
      <c r="AB228" s="422">
        <f t="shared" si="97"/>
        <v>19.864012964266969</v>
      </c>
      <c r="AC228" s="422">
        <f t="shared" si="97"/>
        <v>19.409347802540623</v>
      </c>
    </row>
    <row r="229" spans="1:53" ht="15.75">
      <c r="C229" s="403" t="s">
        <v>202</v>
      </c>
      <c r="D229" s="416">
        <f t="shared" si="91"/>
        <v>1096.125763593476</v>
      </c>
      <c r="F229" s="422">
        <f t="shared" ref="F229:AC229" si="98">F208*F$183</f>
        <v>0</v>
      </c>
      <c r="G229" s="422">
        <f t="shared" si="98"/>
        <v>15472.303834740178</v>
      </c>
      <c r="H229" s="422">
        <f t="shared" si="98"/>
        <v>60772.275159237463</v>
      </c>
      <c r="I229" s="422">
        <f t="shared" si="98"/>
        <v>59667.896586924726</v>
      </c>
      <c r="J229" s="422">
        <f t="shared" si="98"/>
        <v>58576.295418821283</v>
      </c>
      <c r="K229" s="422">
        <f t="shared" si="98"/>
        <v>57497.664224570748</v>
      </c>
      <c r="L229" s="422">
        <f t="shared" si="98"/>
        <v>56432.173516631585</v>
      </c>
      <c r="M229" s="422">
        <f t="shared" si="98"/>
        <v>55379.972871797829</v>
      </c>
      <c r="N229" s="422">
        <f t="shared" si="98"/>
        <v>54123.847467483443</v>
      </c>
      <c r="O229" s="422">
        <f t="shared" si="98"/>
        <v>52893.913574529259</v>
      </c>
      <c r="P229" s="422">
        <f t="shared" si="98"/>
        <v>51689.711090627578</v>
      </c>
      <c r="Q229" s="422">
        <f t="shared" si="98"/>
        <v>50510.784496336659</v>
      </c>
      <c r="R229" s="422">
        <f t="shared" si="98"/>
        <v>49356.682978438992</v>
      </c>
      <c r="S229" s="422">
        <f t="shared" si="98"/>
        <v>48226.960542226108</v>
      </c>
      <c r="T229" s="422">
        <f t="shared" si="98"/>
        <v>47121.176113249872</v>
      </c>
      <c r="U229" s="422">
        <f t="shared" si="98"/>
        <v>46038.893629058934</v>
      </c>
      <c r="V229" s="422">
        <f t="shared" si="98"/>
        <v>44979.682121417231</v>
      </c>
      <c r="W229" s="422">
        <f t="shared" si="98"/>
        <v>43943.11578948114</v>
      </c>
      <c r="X229" s="422">
        <f t="shared" si="98"/>
        <v>42946.403249932118</v>
      </c>
      <c r="Y229" s="422">
        <f t="shared" si="98"/>
        <v>41970.473093957058</v>
      </c>
      <c r="Z229" s="422">
        <f t="shared" si="98"/>
        <v>41014.960244716196</v>
      </c>
      <c r="AA229" s="422">
        <f t="shared" si="98"/>
        <v>40079.503261531063</v>
      </c>
      <c r="AB229" s="422">
        <f t="shared" si="98"/>
        <v>39163.744437777168</v>
      </c>
      <c r="AC229" s="422">
        <f t="shared" si="98"/>
        <v>38267.329889989516</v>
      </c>
    </row>
    <row r="230" spans="1:53" ht="15.75">
      <c r="C230" s="402"/>
      <c r="D230" s="417"/>
      <c r="F230" s="413">
        <f>SUM(F223:F229)</f>
        <v>0</v>
      </c>
      <c r="G230" s="413">
        <f t="shared" ref="G230:AC230" si="99">SUM(G223:G229)</f>
        <v>40219.444817977317</v>
      </c>
      <c r="H230" s="413">
        <f t="shared" si="99"/>
        <v>157434.14967257663</v>
      </c>
      <c r="I230" s="413">
        <f t="shared" si="99"/>
        <v>154051.30298264956</v>
      </c>
      <c r="J230" s="413">
        <f t="shared" si="99"/>
        <v>150806.42528692228</v>
      </c>
      <c r="K230" s="413">
        <f t="shared" si="99"/>
        <v>147559.99913762149</v>
      </c>
      <c r="L230" s="413">
        <f t="shared" si="99"/>
        <v>144343.34861612032</v>
      </c>
      <c r="M230" s="413">
        <f t="shared" si="99"/>
        <v>141155.30646852448</v>
      </c>
      <c r="N230" s="413">
        <f t="shared" si="99"/>
        <v>137527.40318880422</v>
      </c>
      <c r="O230" s="413">
        <f t="shared" si="99"/>
        <v>134056.89591694105</v>
      </c>
      <c r="P230" s="413">
        <f t="shared" si="99"/>
        <v>131016.00525617259</v>
      </c>
      <c r="Q230" s="413">
        <f t="shared" si="99"/>
        <v>128037.84749602879</v>
      </c>
      <c r="R230" s="413">
        <f t="shared" si="99"/>
        <v>125123.72954671452</v>
      </c>
      <c r="S230" s="413">
        <f t="shared" si="99"/>
        <v>122270.14663881109</v>
      </c>
      <c r="T230" s="413">
        <f t="shared" si="99"/>
        <v>119478.25914847225</v>
      </c>
      <c r="U230" s="413">
        <f t="shared" si="99"/>
        <v>116744.75483218493</v>
      </c>
      <c r="V230" s="413">
        <f t="shared" si="99"/>
        <v>114070.65859448726</v>
      </c>
      <c r="W230" s="413">
        <f t="shared" si="99"/>
        <v>111452.84160864539</v>
      </c>
      <c r="X230" s="413">
        <f t="shared" si="99"/>
        <v>108936.09218481605</v>
      </c>
      <c r="Y230" s="413">
        <f t="shared" si="99"/>
        <v>106472.79674321368</v>
      </c>
      <c r="Z230" s="413">
        <f t="shared" si="99"/>
        <v>104125.69539607159</v>
      </c>
      <c r="AA230" s="413">
        <f t="shared" si="99"/>
        <v>101827.35604016371</v>
      </c>
      <c r="AB230" s="413">
        <f t="shared" si="99"/>
        <v>99575.218800974253</v>
      </c>
      <c r="AC230" s="413">
        <f t="shared" si="99"/>
        <v>97370.158230040281</v>
      </c>
    </row>
    <row r="231" spans="1:53" ht="15.75">
      <c r="C231" s="401" t="s">
        <v>182</v>
      </c>
      <c r="D231" s="418">
        <f>NPV(0.03,F211:AC211)/1000</f>
        <v>1856.3516249719667</v>
      </c>
    </row>
    <row r="232" spans="1:53" ht="15.75">
      <c r="C232" s="401" t="s">
        <v>183</v>
      </c>
      <c r="D232" s="419">
        <f>IRR(F232:AC232)</f>
        <v>0.1973585101481006</v>
      </c>
      <c r="F232" s="406">
        <f>F221+F230</f>
        <v>-36407.76699029126</v>
      </c>
      <c r="G232" s="406">
        <f t="shared" ref="G232:AC232" si="100">G221+G230</f>
        <v>-597677.46061781142</v>
      </c>
      <c r="H232" s="406">
        <f t="shared" si="100"/>
        <v>142643.95007704492</v>
      </c>
      <c r="I232" s="406">
        <f t="shared" si="100"/>
        <v>139529.87692687317</v>
      </c>
      <c r="J232" s="406">
        <f t="shared" si="100"/>
        <v>136550.66312331814</v>
      </c>
      <c r="K232" s="406">
        <f t="shared" si="100"/>
        <v>133566.74435277077</v>
      </c>
      <c r="L232" s="406">
        <f t="shared" si="100"/>
        <v>130609.40319884408</v>
      </c>
      <c r="M232" s="406">
        <f t="shared" si="100"/>
        <v>127677.43600501394</v>
      </c>
      <c r="N232" s="406">
        <f t="shared" si="100"/>
        <v>124355.23701887408</v>
      </c>
      <c r="O232" s="406">
        <f t="shared" si="100"/>
        <v>121184.05979049599</v>
      </c>
      <c r="P232" s="406">
        <f t="shared" si="100"/>
        <v>118436.23689860196</v>
      </c>
      <c r="Q232" s="406">
        <f t="shared" si="100"/>
        <v>115744.99549287067</v>
      </c>
      <c r="R232" s="406">
        <f t="shared" si="100"/>
        <v>113111.75219829801</v>
      </c>
      <c r="S232" s="406">
        <f t="shared" si="100"/>
        <v>110533.11078757167</v>
      </c>
      <c r="T232" s="406">
        <f t="shared" si="100"/>
        <v>108010.33898150394</v>
      </c>
      <c r="U232" s="406">
        <f t="shared" si="100"/>
        <v>105540.23066146637</v>
      </c>
      <c r="V232" s="406">
        <f t="shared" si="100"/>
        <v>103123.91561709833</v>
      </c>
      <c r="W232" s="406">
        <f t="shared" si="100"/>
        <v>100758.36864917455</v>
      </c>
      <c r="X232" s="406">
        <f t="shared" si="100"/>
        <v>98484.189992371321</v>
      </c>
      <c r="Y232" s="406">
        <f t="shared" si="100"/>
        <v>96258.40749166756</v>
      </c>
      <c r="Z232" s="406">
        <f t="shared" si="100"/>
        <v>94143.850108353348</v>
      </c>
      <c r="AA232" s="406">
        <f t="shared" si="100"/>
        <v>92073.173703323802</v>
      </c>
      <c r="AB232" s="406">
        <f t="shared" si="100"/>
        <v>90043.905457424466</v>
      </c>
      <c r="AC232" s="406">
        <f t="shared" si="100"/>
        <v>88057.006047108196</v>
      </c>
    </row>
    <row r="233" spans="1:53" ht="15.75">
      <c r="C233" s="401" t="s">
        <v>184</v>
      </c>
      <c r="D233" s="420">
        <f>SUM(D223:D229)/SUM(D217:D220)</f>
        <v>2.9805220140191611</v>
      </c>
    </row>
    <row r="236" spans="1:53" ht="14.25">
      <c r="C236" s="412" t="s">
        <v>597</v>
      </c>
      <c r="D236" s="39"/>
      <c r="E236" s="39"/>
    </row>
    <row r="237" spans="1:53" ht="15.75">
      <c r="C237" s="401" t="s">
        <v>1</v>
      </c>
      <c r="D237" s="418">
        <f>SUM(D238:D241)</f>
        <v>793.49819994343284</v>
      </c>
      <c r="E237" s="39"/>
      <c r="F237" s="39"/>
    </row>
    <row r="238" spans="1:53" ht="15.75">
      <c r="C238" s="403" t="s">
        <v>196</v>
      </c>
      <c r="D238" s="416">
        <f>-SUM(F238:AC238)/1000</f>
        <v>622.65263341776563</v>
      </c>
      <c r="E238" s="39"/>
      <c r="F238" s="406">
        <f>F196*F$185</f>
        <v>-35046.728971962613</v>
      </c>
      <c r="G238" s="406">
        <f t="shared" ref="G238:AC238" si="101">G196*G$185</f>
        <v>-587605.90444580303</v>
      </c>
      <c r="H238" s="406">
        <f t="shared" si="101"/>
        <v>0</v>
      </c>
      <c r="I238" s="406">
        <f t="shared" si="101"/>
        <v>0</v>
      </c>
      <c r="J238" s="406">
        <f t="shared" si="101"/>
        <v>0</v>
      </c>
      <c r="K238" s="406">
        <f t="shared" si="101"/>
        <v>0</v>
      </c>
      <c r="L238" s="406">
        <f t="shared" si="101"/>
        <v>0</v>
      </c>
      <c r="M238" s="406">
        <f t="shared" si="101"/>
        <v>0</v>
      </c>
      <c r="N238" s="406">
        <f t="shared" si="101"/>
        <v>0</v>
      </c>
      <c r="O238" s="406">
        <f t="shared" si="101"/>
        <v>0</v>
      </c>
      <c r="P238" s="406">
        <f t="shared" si="101"/>
        <v>0</v>
      </c>
      <c r="Q238" s="406">
        <f t="shared" si="101"/>
        <v>0</v>
      </c>
      <c r="R238" s="406">
        <f t="shared" si="101"/>
        <v>0</v>
      </c>
      <c r="S238" s="406">
        <f t="shared" si="101"/>
        <v>0</v>
      </c>
      <c r="T238" s="406">
        <f t="shared" si="101"/>
        <v>0</v>
      </c>
      <c r="U238" s="406">
        <f t="shared" si="101"/>
        <v>0</v>
      </c>
      <c r="V238" s="406">
        <f t="shared" si="101"/>
        <v>0</v>
      </c>
      <c r="W238" s="406">
        <f t="shared" si="101"/>
        <v>0</v>
      </c>
      <c r="X238" s="406">
        <f t="shared" si="101"/>
        <v>0</v>
      </c>
      <c r="Y238" s="406">
        <f t="shared" si="101"/>
        <v>0</v>
      </c>
      <c r="Z238" s="406">
        <f t="shared" si="101"/>
        <v>0</v>
      </c>
      <c r="AA238" s="406">
        <f t="shared" si="101"/>
        <v>0</v>
      </c>
      <c r="AB238" s="406">
        <f t="shared" si="101"/>
        <v>0</v>
      </c>
      <c r="AC238" s="406">
        <f t="shared" si="101"/>
        <v>0</v>
      </c>
    </row>
    <row r="239" spans="1:53" ht="15.75">
      <c r="C239" s="403" t="s">
        <v>197</v>
      </c>
      <c r="D239" s="416">
        <f>-SUM(F239:AC239)/1000</f>
        <v>0</v>
      </c>
      <c r="F239" s="406">
        <f t="shared" ref="F239:AC239" si="102">F197*F$185</f>
        <v>0</v>
      </c>
      <c r="G239" s="406">
        <f t="shared" si="102"/>
        <v>0</v>
      </c>
      <c r="H239" s="406">
        <f t="shared" si="102"/>
        <v>0</v>
      </c>
      <c r="I239" s="406">
        <f t="shared" si="102"/>
        <v>0</v>
      </c>
      <c r="J239" s="406">
        <f t="shared" si="102"/>
        <v>0</v>
      </c>
      <c r="K239" s="406">
        <f t="shared" si="102"/>
        <v>0</v>
      </c>
      <c r="L239" s="406">
        <f t="shared" si="102"/>
        <v>0</v>
      </c>
      <c r="M239" s="406">
        <f t="shared" si="102"/>
        <v>0</v>
      </c>
      <c r="N239" s="406">
        <f t="shared" si="102"/>
        <v>0</v>
      </c>
      <c r="O239" s="406">
        <f t="shared" si="102"/>
        <v>0</v>
      </c>
      <c r="P239" s="406">
        <f t="shared" si="102"/>
        <v>0</v>
      </c>
      <c r="Q239" s="406">
        <f t="shared" si="102"/>
        <v>0</v>
      </c>
      <c r="R239" s="406">
        <f t="shared" si="102"/>
        <v>0</v>
      </c>
      <c r="S239" s="406">
        <f t="shared" si="102"/>
        <v>0</v>
      </c>
      <c r="T239" s="406">
        <f t="shared" si="102"/>
        <v>0</v>
      </c>
      <c r="U239" s="406">
        <f t="shared" si="102"/>
        <v>0</v>
      </c>
      <c r="V239" s="406">
        <f t="shared" si="102"/>
        <v>0</v>
      </c>
      <c r="W239" s="406">
        <f t="shared" si="102"/>
        <v>0</v>
      </c>
      <c r="X239" s="406">
        <f t="shared" si="102"/>
        <v>0</v>
      </c>
      <c r="Y239" s="406">
        <f t="shared" si="102"/>
        <v>0</v>
      </c>
      <c r="Z239" s="406">
        <f t="shared" si="102"/>
        <v>0</v>
      </c>
      <c r="AA239" s="406">
        <f t="shared" si="102"/>
        <v>0</v>
      </c>
      <c r="AB239" s="406">
        <f t="shared" si="102"/>
        <v>0</v>
      </c>
      <c r="AC239" s="406">
        <f t="shared" si="102"/>
        <v>0</v>
      </c>
    </row>
    <row r="240" spans="1:53" ht="15.75">
      <c r="C240" s="404" t="s">
        <v>546</v>
      </c>
      <c r="D240" s="416">
        <f>-SUM(F240:AC240)/1000</f>
        <v>0</v>
      </c>
      <c r="F240" s="406">
        <f t="shared" ref="F240:AC240" si="103">F198*F$185</f>
        <v>0</v>
      </c>
      <c r="G240" s="406">
        <f t="shared" si="103"/>
        <v>0</v>
      </c>
      <c r="H240" s="406">
        <f t="shared" si="103"/>
        <v>0</v>
      </c>
      <c r="I240" s="406">
        <f t="shared" si="103"/>
        <v>0</v>
      </c>
      <c r="J240" s="406">
        <f t="shared" si="103"/>
        <v>0</v>
      </c>
      <c r="K240" s="406">
        <f t="shared" si="103"/>
        <v>0</v>
      </c>
      <c r="L240" s="406">
        <f t="shared" si="103"/>
        <v>0</v>
      </c>
      <c r="M240" s="406">
        <f t="shared" si="103"/>
        <v>0</v>
      </c>
      <c r="N240" s="406">
        <f t="shared" si="103"/>
        <v>0</v>
      </c>
      <c r="O240" s="406">
        <f t="shared" si="103"/>
        <v>0</v>
      </c>
      <c r="P240" s="406">
        <f t="shared" si="103"/>
        <v>0</v>
      </c>
      <c r="Q240" s="406">
        <f t="shared" si="103"/>
        <v>0</v>
      </c>
      <c r="R240" s="406">
        <f t="shared" si="103"/>
        <v>0</v>
      </c>
      <c r="S240" s="406">
        <f t="shared" si="103"/>
        <v>0</v>
      </c>
      <c r="T240" s="406">
        <f t="shared" si="103"/>
        <v>0</v>
      </c>
      <c r="U240" s="406">
        <f t="shared" si="103"/>
        <v>0</v>
      </c>
      <c r="V240" s="406">
        <f t="shared" si="103"/>
        <v>0</v>
      </c>
      <c r="W240" s="406">
        <f t="shared" si="103"/>
        <v>0</v>
      </c>
      <c r="X240" s="406">
        <f t="shared" si="103"/>
        <v>0</v>
      </c>
      <c r="Y240" s="406">
        <f t="shared" si="103"/>
        <v>0</v>
      </c>
      <c r="Z240" s="406">
        <f t="shared" si="103"/>
        <v>0</v>
      </c>
      <c r="AA240" s="406">
        <f t="shared" si="103"/>
        <v>0</v>
      </c>
      <c r="AB240" s="406">
        <f t="shared" si="103"/>
        <v>0</v>
      </c>
      <c r="AC240" s="406">
        <f t="shared" si="103"/>
        <v>0</v>
      </c>
    </row>
    <row r="241" spans="3:29" ht="15.75">
      <c r="C241" s="403" t="s">
        <v>198</v>
      </c>
      <c r="D241" s="416">
        <f>-SUM(F241:AC241)/1000</f>
        <v>170.84556652566727</v>
      </c>
      <c r="F241" s="406">
        <f t="shared" ref="F241:AC241" si="104">F199*F$185</f>
        <v>0</v>
      </c>
      <c r="G241" s="406">
        <f t="shared" si="104"/>
        <v>-3489.2365943124519</v>
      </c>
      <c r="H241" s="406">
        <f t="shared" si="104"/>
        <v>-13192.720935858237</v>
      </c>
      <c r="I241" s="406">
        <f t="shared" si="104"/>
        <v>-12468.753974571424</v>
      </c>
      <c r="J241" s="406">
        <f t="shared" si="104"/>
        <v>-11783.048798781214</v>
      </c>
      <c r="K241" s="406">
        <f t="shared" si="104"/>
        <v>-11133.697663394507</v>
      </c>
      <c r="L241" s="406">
        <f t="shared" si="104"/>
        <v>-10518.878680131913</v>
      </c>
      <c r="M241" s="406">
        <f t="shared" si="104"/>
        <v>-9936.8527487883621</v>
      </c>
      <c r="N241" s="406">
        <f t="shared" si="104"/>
        <v>-9348.4201745455102</v>
      </c>
      <c r="O241" s="406">
        <f t="shared" si="104"/>
        <v>-8794.4505413040697</v>
      </c>
      <c r="P241" s="406">
        <f t="shared" si="104"/>
        <v>-8272.9530822300676</v>
      </c>
      <c r="Q241" s="406">
        <f t="shared" si="104"/>
        <v>-7782.0500084446403</v>
      </c>
      <c r="R241" s="406">
        <f t="shared" si="104"/>
        <v>-7319.9702470446891</v>
      </c>
      <c r="S241" s="406">
        <f t="shared" si="104"/>
        <v>-6885.0435149192044</v>
      </c>
      <c r="T241" s="406">
        <f t="shared" si="104"/>
        <v>-6475.6947112257885</v>
      </c>
      <c r="U241" s="406">
        <f t="shared" si="104"/>
        <v>-6090.4386121966854</v>
      </c>
      <c r="V241" s="406">
        <f t="shared" si="104"/>
        <v>-5727.8748527164962</v>
      </c>
      <c r="W241" s="406">
        <f t="shared" si="104"/>
        <v>-5386.6831798555486</v>
      </c>
      <c r="X241" s="406">
        <f t="shared" si="104"/>
        <v>-5067.6992178493902</v>
      </c>
      <c r="Y241" s="406">
        <f t="shared" si="104"/>
        <v>-4767.3972804106461</v>
      </c>
      <c r="Z241" s="406">
        <f t="shared" si="104"/>
        <v>-4484.6981939290699</v>
      </c>
      <c r="AA241" s="406">
        <f t="shared" si="104"/>
        <v>-4218.5840288213494</v>
      </c>
      <c r="AB241" s="406">
        <f t="shared" si="104"/>
        <v>-3968.0947049948618</v>
      </c>
      <c r="AC241" s="406">
        <f t="shared" si="104"/>
        <v>-3732.324779341126</v>
      </c>
    </row>
    <row r="242" spans="3:29" ht="15.75">
      <c r="C242" s="402"/>
      <c r="D242" s="417"/>
      <c r="F242" s="414">
        <f>SUM(F238:F241)</f>
        <v>-35046.728971962613</v>
      </c>
      <c r="G242" s="414">
        <f t="shared" ref="G242:AC242" si="105">SUM(G238:G241)</f>
        <v>-591095.1410401155</v>
      </c>
      <c r="H242" s="414">
        <f t="shared" si="105"/>
        <v>-13192.720935858237</v>
      </c>
      <c r="I242" s="414">
        <f t="shared" si="105"/>
        <v>-12468.753974571424</v>
      </c>
      <c r="J242" s="414">
        <f t="shared" si="105"/>
        <v>-11783.048798781214</v>
      </c>
      <c r="K242" s="414">
        <f t="shared" si="105"/>
        <v>-11133.697663394507</v>
      </c>
      <c r="L242" s="414">
        <f t="shared" si="105"/>
        <v>-10518.878680131913</v>
      </c>
      <c r="M242" s="414">
        <f t="shared" si="105"/>
        <v>-9936.8527487883621</v>
      </c>
      <c r="N242" s="414">
        <f t="shared" si="105"/>
        <v>-9348.4201745455102</v>
      </c>
      <c r="O242" s="414">
        <f t="shared" si="105"/>
        <v>-8794.4505413040697</v>
      </c>
      <c r="P242" s="414">
        <f t="shared" si="105"/>
        <v>-8272.9530822300676</v>
      </c>
      <c r="Q242" s="414">
        <f t="shared" si="105"/>
        <v>-7782.0500084446403</v>
      </c>
      <c r="R242" s="414">
        <f t="shared" si="105"/>
        <v>-7319.9702470446891</v>
      </c>
      <c r="S242" s="414">
        <f t="shared" si="105"/>
        <v>-6885.0435149192044</v>
      </c>
      <c r="T242" s="414">
        <f t="shared" si="105"/>
        <v>-6475.6947112257885</v>
      </c>
      <c r="U242" s="414">
        <f t="shared" si="105"/>
        <v>-6090.4386121966854</v>
      </c>
      <c r="V242" s="414">
        <f t="shared" si="105"/>
        <v>-5727.8748527164962</v>
      </c>
      <c r="W242" s="414">
        <f t="shared" si="105"/>
        <v>-5386.6831798555486</v>
      </c>
      <c r="X242" s="414">
        <f t="shared" si="105"/>
        <v>-5067.6992178493902</v>
      </c>
      <c r="Y242" s="414">
        <f t="shared" si="105"/>
        <v>-4767.3972804106461</v>
      </c>
      <c r="Z242" s="414">
        <f t="shared" si="105"/>
        <v>-4484.6981939290699</v>
      </c>
      <c r="AA242" s="414">
        <f t="shared" si="105"/>
        <v>-4218.5840288213494</v>
      </c>
      <c r="AB242" s="414">
        <f t="shared" si="105"/>
        <v>-3968.0947049948618</v>
      </c>
      <c r="AC242" s="414">
        <f t="shared" si="105"/>
        <v>-3732.324779341126</v>
      </c>
    </row>
    <row r="243" spans="3:29" ht="15.75">
      <c r="C243" s="401" t="s">
        <v>0</v>
      </c>
      <c r="D243" s="418">
        <f>SUM(D244:D250)</f>
        <v>1791.5929149530818</v>
      </c>
      <c r="F243" s="406"/>
      <c r="G243" s="406"/>
      <c r="H243" s="406"/>
      <c r="I243" s="406"/>
      <c r="J243" s="406"/>
      <c r="K243" s="406"/>
      <c r="L243" s="406"/>
      <c r="M243" s="406"/>
      <c r="N243" s="406"/>
      <c r="O243" s="406"/>
      <c r="P243" s="406"/>
      <c r="Q243" s="406"/>
      <c r="R243" s="406"/>
      <c r="S243" s="406"/>
      <c r="T243" s="406"/>
      <c r="U243" s="406"/>
      <c r="V243" s="406"/>
      <c r="W243" s="406"/>
      <c r="X243" s="406"/>
      <c r="Y243" s="406"/>
      <c r="Z243" s="406"/>
      <c r="AA243" s="406"/>
      <c r="AB243" s="406"/>
      <c r="AC243" s="406"/>
    </row>
    <row r="244" spans="3:29" ht="15.75">
      <c r="C244" s="403" t="s">
        <v>577</v>
      </c>
      <c r="D244" s="416">
        <f t="shared" ref="D244:D250" si="106">SUM(F244:AC244)/1000</f>
        <v>476.55554217124688</v>
      </c>
      <c r="F244" s="406">
        <f>F202*F$185</f>
        <v>0</v>
      </c>
      <c r="G244" s="406">
        <f t="shared" ref="G244:AC244" si="107">G202*G$185</f>
        <v>9563.3941874733337</v>
      </c>
      <c r="H244" s="406">
        <f t="shared" si="107"/>
        <v>36227.492711836763</v>
      </c>
      <c r="I244" s="406">
        <f t="shared" si="107"/>
        <v>34304.676284649569</v>
      </c>
      <c r="J244" s="406">
        <f t="shared" si="107"/>
        <v>32480.181741644843</v>
      </c>
      <c r="K244" s="406">
        <f t="shared" si="107"/>
        <v>30749.274423747454</v>
      </c>
      <c r="L244" s="406">
        <f t="shared" si="107"/>
        <v>29107.423953278339</v>
      </c>
      <c r="M244" s="406">
        <f t="shared" si="107"/>
        <v>27550.297451588642</v>
      </c>
      <c r="N244" s="406">
        <f t="shared" si="107"/>
        <v>25969.467483207594</v>
      </c>
      <c r="O244" s="406">
        <f t="shared" si="107"/>
        <v>24478.523440302597</v>
      </c>
      <c r="P244" s="406">
        <f t="shared" si="107"/>
        <v>23072.41700401701</v>
      </c>
      <c r="Q244" s="406">
        <f t="shared" si="107"/>
        <v>21746.37867301318</v>
      </c>
      <c r="R244" s="406">
        <f t="shared" si="107"/>
        <v>20495.902719541078</v>
      </c>
      <c r="S244" s="406">
        <f t="shared" si="107"/>
        <v>19316.732930229489</v>
      </c>
      <c r="T244" s="406">
        <f t="shared" si="107"/>
        <v>18204.849092756547</v>
      </c>
      <c r="U244" s="406">
        <f t="shared" si="107"/>
        <v>17156.454191312576</v>
      </c>
      <c r="V244" s="406">
        <f t="shared" si="107"/>
        <v>16167.962275458482</v>
      </c>
      <c r="W244" s="406">
        <f t="shared" si="107"/>
        <v>15235.986968609435</v>
      </c>
      <c r="X244" s="406">
        <f t="shared" si="107"/>
        <v>14363.226583769745</v>
      </c>
      <c r="Y244" s="406">
        <f t="shared" si="107"/>
        <v>13540.017155103809</v>
      </c>
      <c r="Z244" s="406">
        <f t="shared" si="107"/>
        <v>12763.579466273502</v>
      </c>
      <c r="AA244" s="406">
        <f t="shared" si="107"/>
        <v>12031.287606591786</v>
      </c>
      <c r="AB244" s="406">
        <f t="shared" si="107"/>
        <v>11340.660708903435</v>
      </c>
      <c r="AC244" s="406">
        <f t="shared" si="107"/>
        <v>10689.355117937645</v>
      </c>
    </row>
    <row r="245" spans="3:29" ht="15.75">
      <c r="C245" s="403" t="s">
        <v>578</v>
      </c>
      <c r="D245" s="416">
        <f t="shared" si="106"/>
        <v>402.36205439651724</v>
      </c>
      <c r="F245" s="406">
        <f t="shared" ref="F245:AC245" si="108">F203*F$185</f>
        <v>0</v>
      </c>
      <c r="G245" s="406">
        <f t="shared" si="108"/>
        <v>8217.5758664017922</v>
      </c>
      <c r="H245" s="406">
        <f t="shared" si="108"/>
        <v>31070.459753688563</v>
      </c>
      <c r="I245" s="406">
        <f t="shared" si="108"/>
        <v>29365.429650874601</v>
      </c>
      <c r="J245" s="406">
        <f t="shared" si="108"/>
        <v>27750.510698910908</v>
      </c>
      <c r="K245" s="406">
        <f t="shared" si="108"/>
        <v>26221.209926451858</v>
      </c>
      <c r="L245" s="406">
        <f t="shared" si="108"/>
        <v>24773.236565373456</v>
      </c>
      <c r="M245" s="406">
        <f t="shared" si="108"/>
        <v>23402.494823519381</v>
      </c>
      <c r="N245" s="406">
        <f t="shared" si="108"/>
        <v>22016.664659699396</v>
      </c>
      <c r="O245" s="406">
        <f t="shared" si="108"/>
        <v>20711.998906662</v>
      </c>
      <c r="P245" s="406">
        <f t="shared" si="108"/>
        <v>19483.809066780748</v>
      </c>
      <c r="Q245" s="406">
        <f t="shared" si="108"/>
        <v>18327.67271923208</v>
      </c>
      <c r="R245" s="406">
        <f t="shared" si="108"/>
        <v>17239.418772273464</v>
      </c>
      <c r="S245" s="406">
        <f t="shared" si="108"/>
        <v>16215.113506361384</v>
      </c>
      <c r="T245" s="406">
        <f t="shared" si="108"/>
        <v>15251.047367752548</v>
      </c>
      <c r="U245" s="406">
        <f t="shared" si="108"/>
        <v>14343.722474127928</v>
      </c>
      <c r="V245" s="406">
        <f t="shared" si="108"/>
        <v>13489.840795598939</v>
      </c>
      <c r="W245" s="406">
        <f t="shared" si="108"/>
        <v>12686.29297620211</v>
      </c>
      <c r="X245" s="406">
        <f t="shared" si="108"/>
        <v>11935.047012479336</v>
      </c>
      <c r="Y245" s="406">
        <f t="shared" si="108"/>
        <v>11227.799485111076</v>
      </c>
      <c r="Z245" s="406">
        <f t="shared" si="108"/>
        <v>10562.008809204617</v>
      </c>
      <c r="AA245" s="406">
        <f t="shared" si="108"/>
        <v>9935.2776369873391</v>
      </c>
      <c r="AB245" s="406">
        <f t="shared" si="108"/>
        <v>9345.3448632616728</v>
      </c>
      <c r="AC245" s="406">
        <f t="shared" si="108"/>
        <v>8790.0780595620927</v>
      </c>
    </row>
    <row r="246" spans="3:29" ht="15.75">
      <c r="C246" s="403" t="s">
        <v>199</v>
      </c>
      <c r="D246" s="416">
        <f t="shared" si="106"/>
        <v>65.333063747125962</v>
      </c>
      <c r="F246" s="406">
        <f t="shared" ref="F246:AC246" si="109">F204*F$185</f>
        <v>0</v>
      </c>
      <c r="G246" s="406">
        <f t="shared" si="109"/>
        <v>1291.9541113000826</v>
      </c>
      <c r="H246" s="406">
        <f t="shared" si="109"/>
        <v>4901.9793395618317</v>
      </c>
      <c r="I246" s="406">
        <f t="shared" si="109"/>
        <v>4649.2801971145773</v>
      </c>
      <c r="J246" s="406">
        <f t="shared" si="109"/>
        <v>4409.1114219035126</v>
      </c>
      <c r="K246" s="406">
        <f t="shared" si="109"/>
        <v>4180.8901712625147</v>
      </c>
      <c r="L246" s="406">
        <f t="shared" si="109"/>
        <v>3964.0576332707542</v>
      </c>
      <c r="M246" s="406">
        <f t="shared" si="109"/>
        <v>3758.0782976249534</v>
      </c>
      <c r="N246" s="406">
        <f t="shared" si="109"/>
        <v>3548.1907928864071</v>
      </c>
      <c r="O246" s="406">
        <f t="shared" si="109"/>
        <v>3349.9210675462159</v>
      </c>
      <c r="P246" s="406">
        <f t="shared" si="109"/>
        <v>3162.6340107234496</v>
      </c>
      <c r="Q246" s="406">
        <f t="shared" si="109"/>
        <v>2985.7286348254966</v>
      </c>
      <c r="R246" s="406">
        <f t="shared" si="109"/>
        <v>2818.6362867027328</v>
      </c>
      <c r="S246" s="406">
        <f t="shared" si="109"/>
        <v>2660.8189492288457</v>
      </c>
      <c r="T246" s="406">
        <f t="shared" si="109"/>
        <v>2511.7676289926912</v>
      </c>
      <c r="U246" s="406">
        <f t="shared" si="109"/>
        <v>2371.0008259730757</v>
      </c>
      <c r="V246" s="406">
        <f t="shared" si="109"/>
        <v>2238.0630812470135</v>
      </c>
      <c r="W246" s="406">
        <f t="shared" si="109"/>
        <v>2112.5235989550397</v>
      </c>
      <c r="X246" s="406">
        <f t="shared" si="109"/>
        <v>1994.7937872255252</v>
      </c>
      <c r="Y246" s="406">
        <f t="shared" si="109"/>
        <v>1883.5680284415384</v>
      </c>
      <c r="Z246" s="406">
        <f t="shared" si="109"/>
        <v>1778.4913916808446</v>
      </c>
      <c r="AA246" s="406">
        <f t="shared" si="109"/>
        <v>1679.2279843408437</v>
      </c>
      <c r="AB246" s="406">
        <f t="shared" si="109"/>
        <v>1585.4599556784133</v>
      </c>
      <c r="AC246" s="406">
        <f t="shared" si="109"/>
        <v>1496.8865506395962</v>
      </c>
    </row>
    <row r="247" spans="3:29" ht="15.75">
      <c r="C247" s="403" t="s">
        <v>200</v>
      </c>
      <c r="D247" s="416">
        <f t="shared" si="106"/>
        <v>23.472517726817145</v>
      </c>
      <c r="F247" s="406">
        <f t="shared" ref="F247:AC247" si="110">F205*F$185</f>
        <v>0</v>
      </c>
      <c r="G247" s="406">
        <f t="shared" si="110"/>
        <v>479.38714172459117</v>
      </c>
      <c r="H247" s="406">
        <f t="shared" si="110"/>
        <v>1812.5514306826394</v>
      </c>
      <c r="I247" s="406">
        <f t="shared" si="110"/>
        <v>1713.0854177329757</v>
      </c>
      <c r="J247" s="406">
        <f t="shared" si="110"/>
        <v>1618.8762016472426</v>
      </c>
      <c r="K247" s="406">
        <f t="shared" si="110"/>
        <v>1529.6616768207919</v>
      </c>
      <c r="L247" s="406">
        <f t="shared" si="110"/>
        <v>1445.1915335393921</v>
      </c>
      <c r="M247" s="406">
        <f t="shared" si="110"/>
        <v>1365.2268363643191</v>
      </c>
      <c r="N247" s="406">
        <f t="shared" si="110"/>
        <v>1284.3819288210088</v>
      </c>
      <c r="O247" s="406">
        <f t="shared" si="110"/>
        <v>1208.2718938882358</v>
      </c>
      <c r="P247" s="406">
        <f t="shared" si="110"/>
        <v>1136.6232195823341</v>
      </c>
      <c r="Q247" s="406">
        <f t="shared" si="110"/>
        <v>1069.1779159908815</v>
      </c>
      <c r="R247" s="406">
        <f t="shared" si="110"/>
        <v>1005.6926549376813</v>
      </c>
      <c r="S247" s="406">
        <f t="shared" si="110"/>
        <v>945.93795578282584</v>
      </c>
      <c r="T247" s="406">
        <f t="shared" si="110"/>
        <v>889.6974150035511</v>
      </c>
      <c r="U247" s="406">
        <f t="shared" si="110"/>
        <v>836.76697731223135</v>
      </c>
      <c r="V247" s="406">
        <f t="shared" si="110"/>
        <v>786.95424617400988</v>
      </c>
      <c r="W247" s="406">
        <f t="shared" si="110"/>
        <v>740.07783168848789</v>
      </c>
      <c r="X247" s="406">
        <f t="shared" si="110"/>
        <v>696.25254049115938</v>
      </c>
      <c r="Y247" s="406">
        <f t="shared" si="110"/>
        <v>654.9939776072963</v>
      </c>
      <c r="Z247" s="406">
        <f t="shared" si="110"/>
        <v>616.15387508817764</v>
      </c>
      <c r="AA247" s="406">
        <f t="shared" si="110"/>
        <v>579.59237931819723</v>
      </c>
      <c r="AB247" s="406">
        <f t="shared" si="110"/>
        <v>545.17758463862708</v>
      </c>
      <c r="AC247" s="406">
        <f t="shared" si="110"/>
        <v>512.78509198049153</v>
      </c>
    </row>
    <row r="248" spans="3:29" ht="15.75">
      <c r="C248" s="403" t="s">
        <v>201</v>
      </c>
      <c r="D248" s="416">
        <f t="shared" si="106"/>
        <v>121.51681418250749</v>
      </c>
      <c r="F248" s="406">
        <f t="shared" ref="F248:AC248" si="111">F206*F$185</f>
        <v>0</v>
      </c>
      <c r="G248" s="406">
        <f t="shared" si="111"/>
        <v>3371.888477234329</v>
      </c>
      <c r="H248" s="406">
        <f t="shared" si="111"/>
        <v>12181.518109494504</v>
      </c>
      <c r="I248" s="406">
        <f t="shared" si="111"/>
        <v>10983.409203324751</v>
      </c>
      <c r="J248" s="406">
        <f t="shared" si="111"/>
        <v>9949.2443153828535</v>
      </c>
      <c r="K248" s="406">
        <f t="shared" si="111"/>
        <v>8953.6285441536565</v>
      </c>
      <c r="L248" s="406">
        <f t="shared" si="111"/>
        <v>8019.6564606172615</v>
      </c>
      <c r="M248" s="406">
        <f t="shared" si="111"/>
        <v>7142.9212011195959</v>
      </c>
      <c r="N248" s="406">
        <f t="shared" si="111"/>
        <v>6354.1632538892782</v>
      </c>
      <c r="O248" s="406">
        <f t="shared" si="111"/>
        <v>5681.7966134625512</v>
      </c>
      <c r="P248" s="406">
        <f t="shared" si="111"/>
        <v>5295.3828528711447</v>
      </c>
      <c r="Q248" s="406">
        <f t="shared" si="111"/>
        <v>4933.7095819024144</v>
      </c>
      <c r="R248" s="406">
        <f t="shared" si="111"/>
        <v>4596.7202457932799</v>
      </c>
      <c r="S248" s="406">
        <f t="shared" si="111"/>
        <v>4281.4006749818727</v>
      </c>
      <c r="T248" s="406">
        <f t="shared" si="111"/>
        <v>3987.6743564133376</v>
      </c>
      <c r="U248" s="406">
        <f t="shared" si="111"/>
        <v>3712.918575179835</v>
      </c>
      <c r="V248" s="406">
        <f t="shared" si="111"/>
        <v>3457.0426141090925</v>
      </c>
      <c r="W248" s="406">
        <f t="shared" si="111"/>
        <v>3217.7657451867135</v>
      </c>
      <c r="X248" s="406">
        <f t="shared" si="111"/>
        <v>2995.8155294519197</v>
      </c>
      <c r="Y248" s="406">
        <f t="shared" si="111"/>
        <v>2789.078687660473</v>
      </c>
      <c r="Z248" s="406">
        <f t="shared" si="111"/>
        <v>2625.1571956816724</v>
      </c>
      <c r="AA248" s="406">
        <f t="shared" si="111"/>
        <v>2471.1368804338022</v>
      </c>
      <c r="AB248" s="406">
        <f t="shared" si="111"/>
        <v>2325.7082738611912</v>
      </c>
      <c r="AC248" s="406">
        <f t="shared" si="111"/>
        <v>2189.0767903019691</v>
      </c>
    </row>
    <row r="249" spans="3:29" ht="15.75">
      <c r="C249" s="403" t="s">
        <v>579</v>
      </c>
      <c r="D249" s="416">
        <f t="shared" si="106"/>
        <v>0.3560557109005365</v>
      </c>
      <c r="F249" s="406">
        <f t="shared" ref="F249:AC249" si="112">F207*F$185</f>
        <v>0</v>
      </c>
      <c r="G249" s="406">
        <f t="shared" si="112"/>
        <v>7.2718458040960554</v>
      </c>
      <c r="H249" s="406">
        <f t="shared" si="112"/>
        <v>27.494676783571574</v>
      </c>
      <c r="I249" s="406">
        <f t="shared" si="112"/>
        <v>25.98587221631492</v>
      </c>
      <c r="J249" s="406">
        <f t="shared" si="112"/>
        <v>24.556808244687183</v>
      </c>
      <c r="K249" s="406">
        <f t="shared" si="112"/>
        <v>23.203508976605509</v>
      </c>
      <c r="L249" s="406">
        <f t="shared" si="112"/>
        <v>21.922177452396365</v>
      </c>
      <c r="M249" s="406">
        <f t="shared" si="112"/>
        <v>20.709189249299261</v>
      </c>
      <c r="N249" s="406">
        <f t="shared" si="112"/>
        <v>19.482849094270456</v>
      </c>
      <c r="O249" s="406">
        <f t="shared" si="112"/>
        <v>18.328332441645134</v>
      </c>
      <c r="P249" s="406">
        <f t="shared" si="112"/>
        <v>17.241490375447754</v>
      </c>
      <c r="Q249" s="406">
        <f t="shared" si="112"/>
        <v>16.21840943472186</v>
      </c>
      <c r="R249" s="406">
        <f t="shared" si="112"/>
        <v>15.255398563068409</v>
      </c>
      <c r="S249" s="406">
        <f t="shared" si="112"/>
        <v>14.348976758009035</v>
      </c>
      <c r="T249" s="406">
        <f t="shared" si="112"/>
        <v>13.495861384462328</v>
      </c>
      <c r="U249" s="406">
        <f t="shared" si="112"/>
        <v>12.69295711829885</v>
      </c>
      <c r="V249" s="406">
        <f t="shared" si="112"/>
        <v>11.937345487551058</v>
      </c>
      <c r="W249" s="406">
        <f t="shared" si="112"/>
        <v>11.226274980400396</v>
      </c>
      <c r="X249" s="406">
        <f t="shared" si="112"/>
        <v>10.561487104029553</v>
      </c>
      <c r="Y249" s="406">
        <f t="shared" si="112"/>
        <v>9.9356340485831502</v>
      </c>
      <c r="Z249" s="406">
        <f t="shared" si="112"/>
        <v>9.3464667306650231</v>
      </c>
      <c r="AA249" s="406">
        <f t="shared" si="112"/>
        <v>8.7918637042885859</v>
      </c>
      <c r="AB249" s="406">
        <f t="shared" si="112"/>
        <v>8.2698240863940509</v>
      </c>
      <c r="AC249" s="406">
        <f t="shared" si="112"/>
        <v>7.7784608617300046</v>
      </c>
    </row>
    <row r="250" spans="3:29" ht="15.75">
      <c r="C250" s="403" t="s">
        <v>202</v>
      </c>
      <c r="D250" s="416">
        <f t="shared" si="106"/>
        <v>701.99686701796645</v>
      </c>
      <c r="F250" s="406">
        <f t="shared" ref="F250:AC250" si="113">F208*F$185</f>
        <v>0</v>
      </c>
      <c r="G250" s="406">
        <f t="shared" si="113"/>
        <v>14337.118646410912</v>
      </c>
      <c r="H250" s="406">
        <f t="shared" si="113"/>
        <v>54208.306090421371</v>
      </c>
      <c r="I250" s="406">
        <f t="shared" si="113"/>
        <v>51233.557907116847</v>
      </c>
      <c r="J250" s="406">
        <f t="shared" si="113"/>
        <v>48416.025706008113</v>
      </c>
      <c r="K250" s="406">
        <f t="shared" si="113"/>
        <v>45747.870646991447</v>
      </c>
      <c r="L250" s="406">
        <f t="shared" si="113"/>
        <v>43221.60667180852</v>
      </c>
      <c r="M250" s="406">
        <f t="shared" si="113"/>
        <v>40830.087894732111</v>
      </c>
      <c r="N250" s="406">
        <f t="shared" si="113"/>
        <v>38412.244505698429</v>
      </c>
      <c r="O250" s="406">
        <f t="shared" si="113"/>
        <v>36136.007815060315</v>
      </c>
      <c r="P250" s="406">
        <f t="shared" si="113"/>
        <v>33993.19785005731</v>
      </c>
      <c r="Q250" s="406">
        <f t="shared" si="113"/>
        <v>31976.098859343474</v>
      </c>
      <c r="R250" s="406">
        <f t="shared" si="113"/>
        <v>30077.433582791255</v>
      </c>
      <c r="S250" s="406">
        <f t="shared" si="113"/>
        <v>28290.338901065443</v>
      </c>
      <c r="T250" s="406">
        <f t="shared" si="113"/>
        <v>26608.342794557426</v>
      </c>
      <c r="U250" s="406">
        <f t="shared" si="113"/>
        <v>25025.342544578074</v>
      </c>
      <c r="V250" s="406">
        <f t="shared" si="113"/>
        <v>23535.584112882927</v>
      </c>
      <c r="W250" s="406">
        <f t="shared" si="113"/>
        <v>22133.642638650865</v>
      </c>
      <c r="X250" s="406">
        <f t="shared" si="113"/>
        <v>20822.951664860455</v>
      </c>
      <c r="Y250" s="406">
        <f t="shared" si="113"/>
        <v>19589.024302690643</v>
      </c>
      <c r="Z250" s="406">
        <f t="shared" si="113"/>
        <v>18427.426275567752</v>
      </c>
      <c r="AA250" s="406">
        <f t="shared" si="113"/>
        <v>17333.97495591261</v>
      </c>
      <c r="AB250" s="406">
        <f t="shared" si="113"/>
        <v>16304.725417141439</v>
      </c>
      <c r="AC250" s="406">
        <f t="shared" si="113"/>
        <v>15335.957233618708</v>
      </c>
    </row>
    <row r="251" spans="3:29" ht="15.75">
      <c r="C251" s="402"/>
      <c r="D251" s="417"/>
      <c r="F251" s="413">
        <f>SUM(F244:F250)</f>
        <v>0</v>
      </c>
      <c r="G251" s="413">
        <f t="shared" ref="G251:AC251" si="114">SUM(G244:G250)</f>
        <v>37268.590276349132</v>
      </c>
      <c r="H251" s="413">
        <f t="shared" si="114"/>
        <v>140429.80211246925</v>
      </c>
      <c r="I251" s="413">
        <f t="shared" si="114"/>
        <v>132275.42453302967</v>
      </c>
      <c r="J251" s="413">
        <f t="shared" si="114"/>
        <v>124648.50689374216</v>
      </c>
      <c r="K251" s="413">
        <f t="shared" si="114"/>
        <v>117405.73889840432</v>
      </c>
      <c r="L251" s="413">
        <f t="shared" si="114"/>
        <v>110553.09499534013</v>
      </c>
      <c r="M251" s="413">
        <f t="shared" si="114"/>
        <v>104069.81569419829</v>
      </c>
      <c r="N251" s="413">
        <f t="shared" si="114"/>
        <v>97604.595473296387</v>
      </c>
      <c r="O251" s="413">
        <f t="shared" si="114"/>
        <v>91584.848069363565</v>
      </c>
      <c r="P251" s="413">
        <f t="shared" si="114"/>
        <v>86161.305494407439</v>
      </c>
      <c r="Q251" s="413">
        <f t="shared" si="114"/>
        <v>81054.984793742246</v>
      </c>
      <c r="R251" s="413">
        <f t="shared" si="114"/>
        <v>76249.05966060255</v>
      </c>
      <c r="S251" s="413">
        <f t="shared" si="114"/>
        <v>71724.691894407879</v>
      </c>
      <c r="T251" s="413">
        <f t="shared" si="114"/>
        <v>67466.874516860567</v>
      </c>
      <c r="U251" s="413">
        <f t="shared" si="114"/>
        <v>63458.898545602024</v>
      </c>
      <c r="V251" s="413">
        <f t="shared" si="114"/>
        <v>59687.384470958015</v>
      </c>
      <c r="W251" s="413">
        <f t="shared" si="114"/>
        <v>56137.516034273052</v>
      </c>
      <c r="X251" s="413">
        <f t="shared" si="114"/>
        <v>52818.648605382172</v>
      </c>
      <c r="Y251" s="413">
        <f t="shared" si="114"/>
        <v>49694.41727066342</v>
      </c>
      <c r="Z251" s="413">
        <f t="shared" si="114"/>
        <v>46782.163480227231</v>
      </c>
      <c r="AA251" s="413">
        <f t="shared" si="114"/>
        <v>44039.289307288869</v>
      </c>
      <c r="AB251" s="413">
        <f t="shared" si="114"/>
        <v>41455.346627571169</v>
      </c>
      <c r="AC251" s="413">
        <f t="shared" si="114"/>
        <v>39021.917304902236</v>
      </c>
    </row>
    <row r="252" spans="3:29" ht="15.75">
      <c r="C252" s="401" t="s">
        <v>182</v>
      </c>
      <c r="D252" s="418">
        <f>NPV(0.07,F211:AC211)/1000</f>
        <v>998.09471500964878</v>
      </c>
    </row>
    <row r="253" spans="3:29" ht="15.75">
      <c r="C253" s="401" t="s">
        <v>183</v>
      </c>
      <c r="D253" s="419">
        <f>IRR(F253:AC253)</f>
        <v>0.15259744434817155</v>
      </c>
      <c r="F253" s="406">
        <f>F242+F251</f>
        <v>-35046.728971962613</v>
      </c>
      <c r="G253" s="406">
        <f t="shared" ref="G253:AC253" si="115">G242+G251</f>
        <v>-553826.5507637664</v>
      </c>
      <c r="H253" s="406">
        <f t="shared" si="115"/>
        <v>127237.08117661101</v>
      </c>
      <c r="I253" s="406">
        <f t="shared" si="115"/>
        <v>119806.67055845825</v>
      </c>
      <c r="J253" s="406">
        <f t="shared" si="115"/>
        <v>112865.45809496095</v>
      </c>
      <c r="K253" s="406">
        <f t="shared" si="115"/>
        <v>106272.04123500982</v>
      </c>
      <c r="L253" s="406">
        <f t="shared" si="115"/>
        <v>100034.21631520822</v>
      </c>
      <c r="M253" s="406">
        <f t="shared" si="115"/>
        <v>94132.962945409934</v>
      </c>
      <c r="N253" s="406">
        <f t="shared" si="115"/>
        <v>88256.175298750881</v>
      </c>
      <c r="O253" s="406">
        <f t="shared" si="115"/>
        <v>82790.39752805949</v>
      </c>
      <c r="P253" s="406">
        <f t="shared" si="115"/>
        <v>77888.352412177366</v>
      </c>
      <c r="Q253" s="406">
        <f t="shared" si="115"/>
        <v>73272.934785297606</v>
      </c>
      <c r="R253" s="406">
        <f t="shared" si="115"/>
        <v>68929.089413557856</v>
      </c>
      <c r="S253" s="406">
        <f t="shared" si="115"/>
        <v>64839.648379488674</v>
      </c>
      <c r="T253" s="406">
        <f t="shared" si="115"/>
        <v>60991.179805634776</v>
      </c>
      <c r="U253" s="406">
        <f t="shared" si="115"/>
        <v>57368.459933405335</v>
      </c>
      <c r="V253" s="406">
        <f t="shared" si="115"/>
        <v>53959.509618241522</v>
      </c>
      <c r="W253" s="406">
        <f t="shared" si="115"/>
        <v>50750.832854417502</v>
      </c>
      <c r="X253" s="406">
        <f t="shared" si="115"/>
        <v>47750.949387532783</v>
      </c>
      <c r="Y253" s="406">
        <f t="shared" si="115"/>
        <v>44927.019990252775</v>
      </c>
      <c r="Z253" s="406">
        <f t="shared" si="115"/>
        <v>42297.46528629816</v>
      </c>
      <c r="AA253" s="406">
        <f t="shared" si="115"/>
        <v>39820.705278467518</v>
      </c>
      <c r="AB253" s="406">
        <f t="shared" si="115"/>
        <v>37487.25192257631</v>
      </c>
      <c r="AC253" s="406">
        <f t="shared" si="115"/>
        <v>35289.592525561107</v>
      </c>
    </row>
    <row r="254" spans="3:29" ht="15.75">
      <c r="C254" s="401" t="s">
        <v>184</v>
      </c>
      <c r="D254" s="420">
        <f>SUM(D244:D250)/SUM(D238:D241)</f>
        <v>2.2578411836105001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Z85"/>
  <sheetViews>
    <sheetView zoomScale="75" zoomScaleNormal="75" workbookViewId="0"/>
  </sheetViews>
  <sheetFormatPr defaultRowHeight="12.75"/>
  <cols>
    <col min="1" max="1" width="22" customWidth="1"/>
    <col min="2" max="2" width="27.42578125" customWidth="1"/>
    <col min="3" max="3" width="19.140625" customWidth="1"/>
    <col min="4" max="6" width="14.28515625" customWidth="1"/>
    <col min="7" max="7" width="15.42578125" style="74" customWidth="1"/>
    <col min="8" max="8" width="11.7109375" bestFit="1" customWidth="1"/>
    <col min="9" max="9" width="15.42578125" style="74" customWidth="1"/>
    <col min="10" max="10" width="10.42578125" customWidth="1"/>
    <col min="11" max="11" width="12.140625" bestFit="1" customWidth="1"/>
    <col min="12" max="12" width="11.7109375" bestFit="1" customWidth="1"/>
    <col min="13" max="26" width="9.85546875" customWidth="1"/>
  </cols>
  <sheetData>
    <row r="1" spans="1:26">
      <c r="G1"/>
      <c r="I1"/>
    </row>
    <row r="2" spans="1:26">
      <c r="A2" s="3" t="s">
        <v>390</v>
      </c>
      <c r="C2" s="75">
        <v>2012</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242</v>
      </c>
      <c r="X3" s="72" t="s">
        <v>243</v>
      </c>
      <c r="Y3" s="72" t="s">
        <v>244</v>
      </c>
      <c r="Z3" s="72" t="s">
        <v>245</v>
      </c>
    </row>
    <row r="4" spans="1:26">
      <c r="A4" s="5" t="s">
        <v>351</v>
      </c>
      <c r="B4" s="53"/>
      <c r="G4"/>
      <c r="I4"/>
    </row>
    <row r="5" spans="1:26">
      <c r="A5" s="70" t="s">
        <v>350</v>
      </c>
      <c r="B5" s="70" t="s">
        <v>350</v>
      </c>
      <c r="C5" s="34">
        <v>0</v>
      </c>
      <c r="D5" s="34">
        <f>D60*0.25</f>
        <v>52683.038241315517</v>
      </c>
      <c r="E5" s="34">
        <f t="shared" ref="E5:Z5" si="0">E60</f>
        <v>213136.85242583073</v>
      </c>
      <c r="F5" s="34">
        <f t="shared" si="0"/>
        <v>215541.55188639933</v>
      </c>
      <c r="G5" s="34">
        <f t="shared" si="0"/>
        <v>217946.25134696797</v>
      </c>
      <c r="H5" s="34">
        <f t="shared" si="0"/>
        <v>220350.95080753663</v>
      </c>
      <c r="I5" s="34">
        <f t="shared" si="0"/>
        <v>222755.65026810524</v>
      </c>
      <c r="J5" s="34">
        <f t="shared" si="0"/>
        <v>225160.34972867387</v>
      </c>
      <c r="K5" s="34">
        <f t="shared" si="0"/>
        <v>226654.87370733853</v>
      </c>
      <c r="L5" s="34">
        <f t="shared" si="0"/>
        <v>228149.39768600324</v>
      </c>
      <c r="M5" s="34">
        <f t="shared" si="0"/>
        <v>229643.92166466787</v>
      </c>
      <c r="N5" s="34">
        <f t="shared" si="0"/>
        <v>231138.44564333255</v>
      </c>
      <c r="O5" s="34">
        <f t="shared" si="0"/>
        <v>232632.96962199715</v>
      </c>
      <c r="P5" s="34">
        <f t="shared" si="0"/>
        <v>234127.49360066187</v>
      </c>
      <c r="Q5" s="34">
        <f t="shared" si="0"/>
        <v>235622.01757932655</v>
      </c>
      <c r="R5" s="34">
        <f t="shared" si="0"/>
        <v>237116.54155799121</v>
      </c>
      <c r="S5" s="34">
        <f t="shared" si="0"/>
        <v>238611.06553665586</v>
      </c>
      <c r="T5" s="34">
        <f t="shared" si="0"/>
        <v>240105.58951532052</v>
      </c>
      <c r="U5" s="34">
        <f t="shared" si="0"/>
        <v>241699.32930715528</v>
      </c>
      <c r="V5" s="34">
        <f t="shared" si="0"/>
        <v>243293.06909899015</v>
      </c>
      <c r="W5" s="34">
        <f t="shared" si="0"/>
        <v>244886.80889082493</v>
      </c>
      <c r="X5" s="34">
        <f t="shared" si="0"/>
        <v>246480.54868265975</v>
      </c>
      <c r="Y5" s="34">
        <f t="shared" si="0"/>
        <v>248074.28847449456</v>
      </c>
      <c r="Z5" s="34">
        <f t="shared" si="0"/>
        <v>249668.02826632935</v>
      </c>
    </row>
    <row r="6" spans="1:26">
      <c r="A6" s="70" t="s">
        <v>408</v>
      </c>
      <c r="B6" s="54" t="s">
        <v>409</v>
      </c>
      <c r="C6">
        <f>C62</f>
        <v>0</v>
      </c>
      <c r="D6" s="34">
        <f>D62*0.25</f>
        <v>1053.6607648263102</v>
      </c>
      <c r="E6" s="34">
        <f t="shared" ref="E6:Z6" si="1">E62</f>
        <v>4262.7370485166148</v>
      </c>
      <c r="F6" s="34">
        <f t="shared" si="1"/>
        <v>4310.8310377279868</v>
      </c>
      <c r="G6" s="34">
        <f t="shared" si="1"/>
        <v>4358.9250269393597</v>
      </c>
      <c r="H6" s="34">
        <f t="shared" si="1"/>
        <v>4407.0190161507326</v>
      </c>
      <c r="I6" s="34">
        <f t="shared" si="1"/>
        <v>4455.1130053621046</v>
      </c>
      <c r="J6" s="34">
        <f t="shared" si="1"/>
        <v>4503.2069945734775</v>
      </c>
      <c r="K6" s="34">
        <f t="shared" si="1"/>
        <v>4533.0974741467708</v>
      </c>
      <c r="L6" s="34">
        <f t="shared" si="1"/>
        <v>4562.987953720065</v>
      </c>
      <c r="M6" s="34">
        <f t="shared" si="1"/>
        <v>4592.8784332933574</v>
      </c>
      <c r="N6" s="34">
        <f t="shared" si="1"/>
        <v>4622.7689128666516</v>
      </c>
      <c r="O6" s="34">
        <f t="shared" si="1"/>
        <v>4652.6593924399431</v>
      </c>
      <c r="P6" s="34">
        <f t="shared" si="1"/>
        <v>4682.5498720132373</v>
      </c>
      <c r="Q6" s="34">
        <f t="shared" si="1"/>
        <v>4712.4403515865315</v>
      </c>
      <c r="R6" s="34">
        <f t="shared" si="1"/>
        <v>4742.3308311598239</v>
      </c>
      <c r="S6" s="34">
        <f t="shared" si="1"/>
        <v>4772.2213107331172</v>
      </c>
      <c r="T6" s="34">
        <f t="shared" si="1"/>
        <v>4802.1117903064105</v>
      </c>
      <c r="U6" s="34">
        <f t="shared" si="1"/>
        <v>4833.9865861431053</v>
      </c>
      <c r="V6" s="34">
        <f t="shared" si="1"/>
        <v>4865.8613819798029</v>
      </c>
      <c r="W6" s="34">
        <f t="shared" si="1"/>
        <v>4897.7361778164986</v>
      </c>
      <c r="X6" s="34">
        <f t="shared" si="1"/>
        <v>4929.6109736531953</v>
      </c>
      <c r="Y6" s="34">
        <f t="shared" si="1"/>
        <v>4961.485769489891</v>
      </c>
      <c r="Z6" s="34">
        <f t="shared" si="1"/>
        <v>4993.3605653265868</v>
      </c>
    </row>
    <row r="7" spans="1:26">
      <c r="A7" s="70"/>
      <c r="B7" s="78" t="s">
        <v>402</v>
      </c>
      <c r="C7">
        <f>C63</f>
        <v>0</v>
      </c>
      <c r="D7" s="34">
        <f>D63*0.25</f>
        <v>526.83038241315512</v>
      </c>
      <c r="E7" s="34">
        <f t="shared" ref="E7:Z7" si="2">E63</f>
        <v>2131.3685242583074</v>
      </c>
      <c r="F7" s="34">
        <f t="shared" si="2"/>
        <v>2155.4155188639934</v>
      </c>
      <c r="G7" s="34">
        <f t="shared" si="2"/>
        <v>2179.4625134696798</v>
      </c>
      <c r="H7" s="34">
        <f t="shared" si="2"/>
        <v>2203.5095080753663</v>
      </c>
      <c r="I7" s="34">
        <f t="shared" si="2"/>
        <v>2227.5565026810523</v>
      </c>
      <c r="J7" s="34">
        <f t="shared" si="2"/>
        <v>2251.6034972867387</v>
      </c>
      <c r="K7" s="34">
        <f t="shared" si="2"/>
        <v>2266.5487370733854</v>
      </c>
      <c r="L7" s="34">
        <f t="shared" si="2"/>
        <v>2281.4939768600325</v>
      </c>
      <c r="M7" s="34">
        <f t="shared" si="2"/>
        <v>2296.4392166466787</v>
      </c>
      <c r="N7" s="34">
        <f t="shared" si="2"/>
        <v>2311.3844564333258</v>
      </c>
      <c r="O7" s="34">
        <f t="shared" si="2"/>
        <v>2326.3296962199715</v>
      </c>
      <c r="P7" s="34">
        <f t="shared" si="2"/>
        <v>2341.2749360066186</v>
      </c>
      <c r="Q7" s="34">
        <f t="shared" si="2"/>
        <v>2356.2201757932658</v>
      </c>
      <c r="R7" s="34">
        <f t="shared" si="2"/>
        <v>2371.165415579912</v>
      </c>
      <c r="S7" s="34">
        <f t="shared" si="2"/>
        <v>2386.1106553665586</v>
      </c>
      <c r="T7" s="34">
        <f t="shared" si="2"/>
        <v>2401.0558951532053</v>
      </c>
      <c r="U7" s="34">
        <f t="shared" si="2"/>
        <v>2416.9932930715527</v>
      </c>
      <c r="V7" s="34">
        <f t="shared" si="2"/>
        <v>2432.9306909899014</v>
      </c>
      <c r="W7" s="34">
        <f t="shared" si="2"/>
        <v>2448.8680889082493</v>
      </c>
      <c r="X7" s="34">
        <f t="shared" si="2"/>
        <v>2464.8054868265976</v>
      </c>
      <c r="Y7" s="34">
        <f t="shared" si="2"/>
        <v>2480.7428847449455</v>
      </c>
      <c r="Z7" s="34">
        <f t="shared" si="2"/>
        <v>2496.6802826632934</v>
      </c>
    </row>
    <row r="8" spans="1:26">
      <c r="A8" s="70"/>
      <c r="B8" s="53"/>
      <c r="D8" s="34"/>
      <c r="E8" s="34"/>
      <c r="F8" s="34"/>
      <c r="G8" s="34"/>
      <c r="H8" s="34"/>
      <c r="I8" s="34"/>
      <c r="J8" s="34"/>
      <c r="K8" s="34"/>
      <c r="L8" s="34"/>
      <c r="M8" s="34"/>
      <c r="N8" s="34"/>
      <c r="O8" s="34"/>
      <c r="P8" s="34"/>
      <c r="Q8" s="34"/>
      <c r="R8" s="34"/>
      <c r="S8" s="34"/>
      <c r="T8" s="34"/>
      <c r="U8" s="34"/>
      <c r="V8" s="34"/>
      <c r="W8" s="34"/>
      <c r="X8" s="34"/>
      <c r="Y8" s="34"/>
      <c r="Z8" s="34"/>
    </row>
    <row r="9" spans="1:26">
      <c r="A9" s="58"/>
      <c r="B9" s="70"/>
      <c r="D9" s="34"/>
      <c r="E9" s="34"/>
      <c r="F9" s="34"/>
      <c r="G9" s="34"/>
      <c r="H9" s="34"/>
      <c r="I9" s="34"/>
      <c r="J9" s="34"/>
      <c r="K9" s="34"/>
      <c r="L9" s="34"/>
      <c r="M9" s="34"/>
      <c r="N9" s="34"/>
      <c r="O9" s="34"/>
      <c r="P9" s="34"/>
      <c r="Q9" s="34"/>
      <c r="R9" s="34"/>
      <c r="S9" s="34"/>
      <c r="T9" s="34"/>
      <c r="U9" s="34"/>
      <c r="V9" s="34"/>
      <c r="W9" s="34"/>
      <c r="X9" s="34"/>
      <c r="Y9" s="34"/>
      <c r="Z9" s="34"/>
    </row>
    <row r="10" spans="1:26">
      <c r="A10" s="5" t="s">
        <v>261</v>
      </c>
      <c r="B10" s="53"/>
      <c r="D10" s="34"/>
      <c r="E10" s="34"/>
      <c r="F10" s="34"/>
      <c r="G10" s="34"/>
      <c r="H10" s="34"/>
      <c r="I10" s="34"/>
      <c r="J10" s="34"/>
      <c r="K10" s="34"/>
      <c r="L10" s="34"/>
      <c r="M10" s="34"/>
      <c r="N10" s="34"/>
      <c r="O10" s="34"/>
      <c r="P10" s="34"/>
      <c r="Q10" s="34"/>
      <c r="R10" s="34"/>
      <c r="S10" s="34"/>
      <c r="T10" s="34"/>
      <c r="U10" s="34"/>
      <c r="V10" s="34"/>
      <c r="W10" s="34"/>
      <c r="X10" s="34"/>
      <c r="Y10" s="34"/>
      <c r="Z10" s="34"/>
    </row>
    <row r="11" spans="1:26">
      <c r="A11" s="70" t="s">
        <v>350</v>
      </c>
      <c r="B11" s="70" t="s">
        <v>350</v>
      </c>
      <c r="C11" s="189">
        <v>0</v>
      </c>
      <c r="D11" s="34">
        <f>D68*0.25</f>
        <v>5100.1541340868816</v>
      </c>
      <c r="E11" s="34">
        <f t="shared" ref="E11:Z11" si="3">E68</f>
        <v>20633.411346678673</v>
      </c>
      <c r="F11" s="34">
        <f t="shared" si="3"/>
        <v>20866.206157009819</v>
      </c>
      <c r="G11" s="34">
        <f t="shared" si="3"/>
        <v>21099.000967340966</v>
      </c>
      <c r="H11" s="34">
        <f t="shared" si="3"/>
        <v>21331.795777672116</v>
      </c>
      <c r="I11" s="34">
        <f t="shared" si="3"/>
        <v>21564.590588003259</v>
      </c>
      <c r="J11" s="34">
        <f t="shared" si="3"/>
        <v>21797.385398334409</v>
      </c>
      <c r="K11" s="34">
        <f t="shared" si="3"/>
        <v>21942.067688929805</v>
      </c>
      <c r="L11" s="34">
        <f t="shared" si="3"/>
        <v>22086.749979525208</v>
      </c>
      <c r="M11" s="34">
        <f t="shared" si="3"/>
        <v>22231.432270120607</v>
      </c>
      <c r="N11" s="34">
        <f t="shared" si="3"/>
        <v>22376.114560716011</v>
      </c>
      <c r="O11" s="34">
        <f t="shared" si="3"/>
        <v>22520.796851311403</v>
      </c>
      <c r="P11" s="34">
        <f t="shared" si="3"/>
        <v>22665.479141906806</v>
      </c>
      <c r="Q11" s="34">
        <f t="shared" si="3"/>
        <v>22810.161432502206</v>
      </c>
      <c r="R11" s="34">
        <f t="shared" si="3"/>
        <v>22954.843723097605</v>
      </c>
      <c r="S11" s="34">
        <f t="shared" si="3"/>
        <v>23099.526013693008</v>
      </c>
      <c r="T11" s="34">
        <f t="shared" si="3"/>
        <v>23244.208304288404</v>
      </c>
      <c r="U11" s="34">
        <f t="shared" si="3"/>
        <v>23398.495506760537</v>
      </c>
      <c r="V11" s="34">
        <f t="shared" si="3"/>
        <v>23552.782709232673</v>
      </c>
      <c r="W11" s="34">
        <f t="shared" si="3"/>
        <v>23707.069911704806</v>
      </c>
      <c r="X11" s="34">
        <f t="shared" si="3"/>
        <v>23861.357114176943</v>
      </c>
      <c r="Y11" s="34">
        <f t="shared" si="3"/>
        <v>24015.644316649075</v>
      </c>
      <c r="Z11" s="34">
        <f t="shared" si="3"/>
        <v>24169.931519121208</v>
      </c>
    </row>
    <row r="12" spans="1:26">
      <c r="A12" s="70" t="s">
        <v>399</v>
      </c>
      <c r="B12" s="54" t="s">
        <v>417</v>
      </c>
      <c r="C12">
        <f>C69</f>
        <v>0</v>
      </c>
      <c r="D12" s="34">
        <f>D69*0.25</f>
        <v>510.01541340868818</v>
      </c>
      <c r="E12" s="34">
        <f t="shared" ref="E12:Z12" si="4">E69</f>
        <v>2063.3411346678672</v>
      </c>
      <c r="F12" s="34">
        <f t="shared" si="4"/>
        <v>2086.6206157009819</v>
      </c>
      <c r="G12" s="34">
        <f t="shared" si="4"/>
        <v>2109.9000967340967</v>
      </c>
      <c r="H12" s="34">
        <f t="shared" si="4"/>
        <v>2133.1795777672119</v>
      </c>
      <c r="I12" s="34">
        <f t="shared" si="4"/>
        <v>2156.4590588003261</v>
      </c>
      <c r="J12" s="34">
        <f t="shared" si="4"/>
        <v>2179.7385398334409</v>
      </c>
      <c r="K12" s="34">
        <f t="shared" si="4"/>
        <v>2194.2067688929806</v>
      </c>
      <c r="L12" s="34">
        <f t="shared" si="4"/>
        <v>2208.6749979525207</v>
      </c>
      <c r="M12" s="34">
        <f t="shared" si="4"/>
        <v>2223.1432270120608</v>
      </c>
      <c r="N12" s="34">
        <f t="shared" si="4"/>
        <v>2237.611456071601</v>
      </c>
      <c r="O12" s="34">
        <f t="shared" si="4"/>
        <v>2252.0796851311402</v>
      </c>
      <c r="P12" s="34">
        <f t="shared" si="4"/>
        <v>2266.5479141906808</v>
      </c>
      <c r="Q12" s="34">
        <f t="shared" si="4"/>
        <v>2281.0161432502205</v>
      </c>
      <c r="R12" s="34">
        <f t="shared" si="4"/>
        <v>2295.4843723097606</v>
      </c>
      <c r="S12" s="34">
        <f t="shared" si="4"/>
        <v>2309.9526013693007</v>
      </c>
      <c r="T12" s="34">
        <f t="shared" si="4"/>
        <v>2324.4208304288404</v>
      </c>
      <c r="U12" s="34">
        <f t="shared" si="4"/>
        <v>2339.8495506760537</v>
      </c>
      <c r="V12" s="34">
        <f t="shared" si="4"/>
        <v>2355.2782709232674</v>
      </c>
      <c r="W12" s="34">
        <f t="shared" si="4"/>
        <v>2370.7069911704807</v>
      </c>
      <c r="X12" s="34">
        <f t="shared" si="4"/>
        <v>2386.1357114176944</v>
      </c>
      <c r="Y12" s="34">
        <f t="shared" si="4"/>
        <v>2401.5644316649077</v>
      </c>
      <c r="Z12" s="34">
        <f t="shared" si="4"/>
        <v>2416.993151912121</v>
      </c>
    </row>
    <row r="13" spans="1:26">
      <c r="A13" s="70"/>
      <c r="B13" s="78" t="s">
        <v>411</v>
      </c>
      <c r="C13">
        <f>C70</f>
        <v>0</v>
      </c>
      <c r="D13" s="34">
        <f>D70*0.25</f>
        <v>255.00770670434409</v>
      </c>
      <c r="E13" s="34">
        <f t="shared" ref="E13:Z13" si="5">E70</f>
        <v>1031.6705673339336</v>
      </c>
      <c r="F13" s="34">
        <f t="shared" si="5"/>
        <v>1043.310307850491</v>
      </c>
      <c r="G13" s="34">
        <f t="shared" si="5"/>
        <v>1054.9500483670483</v>
      </c>
      <c r="H13" s="34">
        <f t="shared" si="5"/>
        <v>1066.5897888836059</v>
      </c>
      <c r="I13" s="34">
        <f t="shared" si="5"/>
        <v>1078.2295294001631</v>
      </c>
      <c r="J13" s="34">
        <f t="shared" si="5"/>
        <v>1089.8692699167204</v>
      </c>
      <c r="K13" s="34">
        <f t="shared" si="5"/>
        <v>1097.1033844464903</v>
      </c>
      <c r="L13" s="34">
        <f t="shared" si="5"/>
        <v>1104.3374989762603</v>
      </c>
      <c r="M13" s="34">
        <f t="shared" si="5"/>
        <v>1111.5716135060304</v>
      </c>
      <c r="N13" s="34">
        <f t="shared" si="5"/>
        <v>1118.8057280358005</v>
      </c>
      <c r="O13" s="34">
        <f t="shared" si="5"/>
        <v>1126.0398425655701</v>
      </c>
      <c r="P13" s="34">
        <f t="shared" si="5"/>
        <v>1133.2739570953404</v>
      </c>
      <c r="Q13" s="34">
        <f t="shared" si="5"/>
        <v>1140.5080716251102</v>
      </c>
      <c r="R13" s="34">
        <f t="shared" si="5"/>
        <v>1147.7421861548803</v>
      </c>
      <c r="S13" s="34">
        <f t="shared" si="5"/>
        <v>1154.9763006846504</v>
      </c>
      <c r="T13" s="34">
        <f t="shared" si="5"/>
        <v>1162.2104152144202</v>
      </c>
      <c r="U13" s="34">
        <f t="shared" si="5"/>
        <v>1169.9247753380268</v>
      </c>
      <c r="V13" s="34">
        <f t="shared" si="5"/>
        <v>1177.6391354616337</v>
      </c>
      <c r="W13" s="34">
        <f t="shared" si="5"/>
        <v>1185.3534955852404</v>
      </c>
      <c r="X13" s="34">
        <f t="shared" si="5"/>
        <v>1193.0678557088472</v>
      </c>
      <c r="Y13" s="34">
        <f t="shared" si="5"/>
        <v>1200.7822158324539</v>
      </c>
      <c r="Z13" s="34">
        <f t="shared" si="5"/>
        <v>1208.4965759560605</v>
      </c>
    </row>
    <row r="14" spans="1:26">
      <c r="A14" s="70"/>
      <c r="B14" s="48"/>
      <c r="G14"/>
      <c r="I14"/>
    </row>
    <row r="15" spans="1:26">
      <c r="A15" s="5" t="s">
        <v>353</v>
      </c>
      <c r="B15" s="53"/>
      <c r="G15"/>
      <c r="I15"/>
    </row>
    <row r="16" spans="1:26">
      <c r="G16"/>
      <c r="I16"/>
    </row>
    <row r="17" spans="1:26">
      <c r="A17" s="70"/>
      <c r="B17" s="58" t="s">
        <v>420</v>
      </c>
      <c r="G17"/>
      <c r="I17"/>
    </row>
    <row r="18" spans="1:26">
      <c r="B18" s="78" t="s">
        <v>488</v>
      </c>
      <c r="C18" s="278">
        <f>C6+C7+C12+C13</f>
        <v>0</v>
      </c>
      <c r="D18" s="278">
        <f t="shared" ref="D18:Z18" si="6">D6+D7+D12+D13</f>
        <v>2345.5142673524974</v>
      </c>
      <c r="E18" s="278">
        <f t="shared" si="6"/>
        <v>9489.1172747767232</v>
      </c>
      <c r="F18" s="278">
        <f t="shared" si="6"/>
        <v>9596.1774801434512</v>
      </c>
      <c r="G18" s="278">
        <f t="shared" si="6"/>
        <v>9703.2376855101847</v>
      </c>
      <c r="H18" s="278">
        <f t="shared" si="6"/>
        <v>9810.2978908769164</v>
      </c>
      <c r="I18" s="278">
        <f t="shared" si="6"/>
        <v>9917.3580962436463</v>
      </c>
      <c r="J18" s="278">
        <f t="shared" si="6"/>
        <v>10024.418301610378</v>
      </c>
      <c r="K18" s="278">
        <f t="shared" si="6"/>
        <v>10090.956364559628</v>
      </c>
      <c r="L18" s="278">
        <f t="shared" si="6"/>
        <v>10157.494427508878</v>
      </c>
      <c r="M18" s="278">
        <f t="shared" si="6"/>
        <v>10224.032490458127</v>
      </c>
      <c r="N18" s="278">
        <f t="shared" si="6"/>
        <v>10290.570553407379</v>
      </c>
      <c r="O18" s="278">
        <f t="shared" si="6"/>
        <v>10357.108616356625</v>
      </c>
      <c r="P18" s="278">
        <f t="shared" si="6"/>
        <v>10423.646679305877</v>
      </c>
      <c r="Q18" s="278">
        <f t="shared" si="6"/>
        <v>10490.184742255129</v>
      </c>
      <c r="R18" s="278">
        <f t="shared" si="6"/>
        <v>10556.722805204377</v>
      </c>
      <c r="S18" s="278">
        <f t="shared" si="6"/>
        <v>10623.260868153626</v>
      </c>
      <c r="T18" s="278">
        <f t="shared" si="6"/>
        <v>10689.798931102876</v>
      </c>
      <c r="U18" s="278">
        <f t="shared" si="6"/>
        <v>10760.754205228739</v>
      </c>
      <c r="V18" s="278">
        <f t="shared" si="6"/>
        <v>10831.709479354606</v>
      </c>
      <c r="W18" s="278">
        <f t="shared" si="6"/>
        <v>10902.664753480469</v>
      </c>
      <c r="X18" s="278">
        <f t="shared" si="6"/>
        <v>10973.620027606335</v>
      </c>
      <c r="Y18" s="278">
        <f t="shared" si="6"/>
        <v>11044.575301732199</v>
      </c>
      <c r="Z18" s="278">
        <f t="shared" si="6"/>
        <v>11115.53057585806</v>
      </c>
    </row>
    <row r="19" spans="1:26">
      <c r="B19" s="78" t="s">
        <v>489</v>
      </c>
      <c r="C19" s="394"/>
      <c r="D19" s="278">
        <f>-D18*$A$51</f>
        <v>-371.99186589049066</v>
      </c>
      <c r="E19" s="278">
        <f>-E18*$A$51</f>
        <v>-1504.9469064548609</v>
      </c>
      <c r="F19" s="278">
        <f t="shared" ref="F19:Z19" si="7">-F18*$A$51</f>
        <v>-1521.9263493477586</v>
      </c>
      <c r="G19" s="278">
        <f t="shared" si="7"/>
        <v>-1538.9057922406571</v>
      </c>
      <c r="H19" s="278">
        <f t="shared" si="7"/>
        <v>-1555.8852351335552</v>
      </c>
      <c r="I19" s="278">
        <f t="shared" si="7"/>
        <v>-1572.864678026453</v>
      </c>
      <c r="J19" s="278">
        <f t="shared" si="7"/>
        <v>-1589.8441209193513</v>
      </c>
      <c r="K19" s="278">
        <f t="shared" si="7"/>
        <v>-1600.3968677236455</v>
      </c>
      <c r="L19" s="278">
        <f t="shared" si="7"/>
        <v>-1610.9496145279397</v>
      </c>
      <c r="M19" s="278">
        <f t="shared" si="7"/>
        <v>-1621.5023613322335</v>
      </c>
      <c r="N19" s="278">
        <f t="shared" si="7"/>
        <v>-1632.0551081365281</v>
      </c>
      <c r="O19" s="278">
        <f t="shared" si="7"/>
        <v>-1642.6078549408217</v>
      </c>
      <c r="P19" s="278">
        <f t="shared" si="7"/>
        <v>-1653.1606017451161</v>
      </c>
      <c r="Q19" s="278">
        <f t="shared" si="7"/>
        <v>-1663.7133485494105</v>
      </c>
      <c r="R19" s="278">
        <f t="shared" si="7"/>
        <v>-1674.2660953537045</v>
      </c>
      <c r="S19" s="278">
        <f t="shared" si="7"/>
        <v>-1684.8188421579985</v>
      </c>
      <c r="T19" s="278">
        <f t="shared" si="7"/>
        <v>-1695.3715889622927</v>
      </c>
      <c r="U19" s="278">
        <f t="shared" si="7"/>
        <v>-1706.6248928471775</v>
      </c>
      <c r="V19" s="278">
        <f t="shared" si="7"/>
        <v>-1717.8781967320631</v>
      </c>
      <c r="W19" s="278">
        <f t="shared" si="7"/>
        <v>-1729.1315006169482</v>
      </c>
      <c r="X19" s="278">
        <f t="shared" si="7"/>
        <v>-1740.3848045018337</v>
      </c>
      <c r="Y19" s="278">
        <f t="shared" si="7"/>
        <v>-1751.6381083867188</v>
      </c>
      <c r="Z19" s="278">
        <f t="shared" si="7"/>
        <v>-1762.8914122716035</v>
      </c>
    </row>
    <row r="20" spans="1:26">
      <c r="B20" s="78" t="s">
        <v>490</v>
      </c>
      <c r="C20" s="278">
        <f>-(C6+C12)</f>
        <v>0</v>
      </c>
      <c r="D20" s="278">
        <f t="shared" ref="D20:Z20" si="8">-(D6+D12)</f>
        <v>-1563.6761782349984</v>
      </c>
      <c r="E20" s="278">
        <f t="shared" si="8"/>
        <v>-6326.0781831844815</v>
      </c>
      <c r="F20" s="278">
        <f t="shared" si="8"/>
        <v>-6397.4516534289687</v>
      </c>
      <c r="G20" s="278">
        <f t="shared" si="8"/>
        <v>-6468.8251236734559</v>
      </c>
      <c r="H20" s="278">
        <f t="shared" si="8"/>
        <v>-6540.1985939179449</v>
      </c>
      <c r="I20" s="278">
        <f t="shared" si="8"/>
        <v>-6611.5720641624303</v>
      </c>
      <c r="J20" s="278">
        <f t="shared" si="8"/>
        <v>-6682.9455344069183</v>
      </c>
      <c r="K20" s="278">
        <f t="shared" si="8"/>
        <v>-6727.3042430397509</v>
      </c>
      <c r="L20" s="278">
        <f t="shared" si="8"/>
        <v>-6771.6629516725861</v>
      </c>
      <c r="M20" s="278">
        <f t="shared" si="8"/>
        <v>-6816.0216603054178</v>
      </c>
      <c r="N20" s="278">
        <f t="shared" si="8"/>
        <v>-6860.380368938253</v>
      </c>
      <c r="O20" s="278">
        <f t="shared" si="8"/>
        <v>-6904.7390775710828</v>
      </c>
      <c r="P20" s="278">
        <f t="shared" si="8"/>
        <v>-6949.0977862039181</v>
      </c>
      <c r="Q20" s="278">
        <f t="shared" si="8"/>
        <v>-6993.4564948367515</v>
      </c>
      <c r="R20" s="278">
        <f t="shared" si="8"/>
        <v>-7037.815203469585</v>
      </c>
      <c r="S20" s="278">
        <f t="shared" si="8"/>
        <v>-7082.1739121024184</v>
      </c>
      <c r="T20" s="278">
        <f t="shared" si="8"/>
        <v>-7126.5326207352509</v>
      </c>
      <c r="U20" s="278">
        <f t="shared" si="8"/>
        <v>-7173.836136819159</v>
      </c>
      <c r="V20" s="278">
        <f t="shared" si="8"/>
        <v>-7221.1396529030699</v>
      </c>
      <c r="W20" s="278">
        <f t="shared" si="8"/>
        <v>-7268.4431689869798</v>
      </c>
      <c r="X20" s="278">
        <f t="shared" si="8"/>
        <v>-7315.7466850708897</v>
      </c>
      <c r="Y20" s="278">
        <f t="shared" si="8"/>
        <v>-7363.0502011547987</v>
      </c>
      <c r="Z20" s="278">
        <f t="shared" si="8"/>
        <v>-7410.3537172387078</v>
      </c>
    </row>
    <row r="21" spans="1:26">
      <c r="B21" s="78" t="s">
        <v>491</v>
      </c>
      <c r="C21" s="278">
        <f>-('Mode Operating Assumptions'!$C$27*(C6+C12))</f>
        <v>0</v>
      </c>
      <c r="D21" s="278">
        <f>-('Mode Operating Assumptions'!$C$27*(D6+D12))</f>
        <v>-10163.89515852749</v>
      </c>
      <c r="E21" s="278">
        <f>-('Mode Operating Assumptions'!$C$27*(E6+E12))</f>
        <v>-41119.508190699133</v>
      </c>
      <c r="F21" s="278">
        <f>-('Mode Operating Assumptions'!$C$27*(F6+F12))</f>
        <v>-41583.435747288298</v>
      </c>
      <c r="G21" s="278">
        <f>-('Mode Operating Assumptions'!$C$27*(G6+G12))</f>
        <v>-42047.363303877464</v>
      </c>
      <c r="H21" s="278">
        <f>-('Mode Operating Assumptions'!$C$27*(H6+H12))</f>
        <v>-42511.290860466645</v>
      </c>
      <c r="I21" s="278">
        <f>-('Mode Operating Assumptions'!$C$27*(I6+I12))</f>
        <v>-42975.218417055796</v>
      </c>
      <c r="J21" s="278">
        <f>-('Mode Operating Assumptions'!$C$27*(J6+J12))</f>
        <v>-43439.145973644969</v>
      </c>
      <c r="K21" s="278">
        <f>-('Mode Operating Assumptions'!$C$27*(K6+K12))</f>
        <v>-43727.477579758379</v>
      </c>
      <c r="L21" s="278">
        <f>-('Mode Operating Assumptions'!$C$27*(L6+L12))</f>
        <v>-44015.809185871811</v>
      </c>
      <c r="M21" s="278">
        <f>-('Mode Operating Assumptions'!$C$27*(M6+M12))</f>
        <v>-44304.140791985214</v>
      </c>
      <c r="N21" s="278">
        <f>-('Mode Operating Assumptions'!$C$27*(N6+N12))</f>
        <v>-44592.472398098645</v>
      </c>
      <c r="O21" s="278">
        <f>-('Mode Operating Assumptions'!$C$27*(O6+O12))</f>
        <v>-44880.804004212041</v>
      </c>
      <c r="P21" s="278">
        <f>-('Mode Operating Assumptions'!$C$27*(P6+P12))</f>
        <v>-45169.135610325466</v>
      </c>
      <c r="Q21" s="278">
        <f>-('Mode Operating Assumptions'!$C$27*(Q6+Q12))</f>
        <v>-45457.467216438883</v>
      </c>
      <c r="R21" s="278">
        <f>-('Mode Operating Assumptions'!$C$27*(R6+R12))</f>
        <v>-45745.7988225523</v>
      </c>
      <c r="S21" s="278">
        <f>-('Mode Operating Assumptions'!$C$27*(S6+S12))</f>
        <v>-46034.130428665718</v>
      </c>
      <c r="T21" s="278">
        <f>-('Mode Operating Assumptions'!$C$27*(T6+T12))</f>
        <v>-46322.462034779128</v>
      </c>
      <c r="U21" s="278">
        <f>-('Mode Operating Assumptions'!$C$27*(U6+U12))</f>
        <v>-46629.934889324533</v>
      </c>
      <c r="V21" s="278">
        <f>-('Mode Operating Assumptions'!$C$27*(V6+V12))</f>
        <v>-46937.407743869953</v>
      </c>
      <c r="W21" s="278">
        <f>-('Mode Operating Assumptions'!$C$27*(W6+W12))</f>
        <v>-47244.880598415366</v>
      </c>
      <c r="X21" s="278">
        <f>-('Mode Operating Assumptions'!$C$27*(X6+X12))</f>
        <v>-47552.353452960786</v>
      </c>
      <c r="Y21" s="278">
        <f>-('Mode Operating Assumptions'!$C$27*(Y6+Y12))</f>
        <v>-47859.826307506191</v>
      </c>
      <c r="Z21" s="278">
        <f>-('Mode Operating Assumptions'!$C$27*(Z6+Z12))</f>
        <v>-48167.299162051597</v>
      </c>
    </row>
    <row r="22" spans="1:26">
      <c r="A22" s="70"/>
      <c r="B22" s="54" t="s">
        <v>492</v>
      </c>
      <c r="C22" s="227">
        <f>-(C21*'Mode Operating Assumptions'!$C$8/'Mode Operating Assumptions'!C11)</f>
        <v>0</v>
      </c>
      <c r="D22" s="227">
        <f>-(D21*'Mode Operating Assumptions'!$C$8/'Mode Operating Assumptions'!D11)</f>
        <v>1791.1110366732573</v>
      </c>
      <c r="E22" s="227">
        <f>-(E21*'Mode Operating Assumptions'!$C$8/'Mode Operating Assumptions'!E11)</f>
        <v>7082.8910687526295</v>
      </c>
      <c r="F22" s="227">
        <f>-(F21*'Mode Operating Assumptions'!$C$8/'Mode Operating Assumptions'!F11)</f>
        <v>7004.9328991640386</v>
      </c>
      <c r="G22" s="227">
        <f>-(G21*'Mode Operating Assumptions'!$C$8/'Mode Operating Assumptions'!G11)</f>
        <v>6930.3370653378015</v>
      </c>
      <c r="H22" s="227">
        <f>-(H21*'Mode Operating Assumptions'!$C$8/'Mode Operating Assumptions'!H11)</f>
        <v>6858.890632897429</v>
      </c>
      <c r="I22" s="227">
        <f>-(I21*'Mode Operating Assumptions'!$C$8/'Mode Operating Assumptions'!I11)</f>
        <v>6790.3982757404046</v>
      </c>
      <c r="J22" s="227">
        <f>-(J21*'Mode Operating Assumptions'!$C$8/'Mode Operating Assumptions'!J11)</f>
        <v>6724.6804927931453</v>
      </c>
      <c r="K22" s="227">
        <f>-(K21*'Mode Operating Assumptions'!$C$8/'Mode Operating Assumptions'!K11)</f>
        <v>6634.9282289090352</v>
      </c>
      <c r="L22" s="227">
        <f>-(L21*'Mode Operating Assumptions'!$C$8/'Mode Operating Assumptions'!L11)</f>
        <v>6675.1411523648612</v>
      </c>
      <c r="M22" s="227">
        <f>-(M21*'Mode Operating Assumptions'!$C$8/'Mode Operating Assumptions'!M11)</f>
        <v>6715.3115091015106</v>
      </c>
      <c r="N22" s="227">
        <f>-(N21*'Mode Operating Assumptions'!$C$8/'Mode Operating Assumptions'!N11)</f>
        <v>6755.4393666706756</v>
      </c>
      <c r="O22" s="227">
        <f>-(O21*'Mode Operating Assumptions'!$C$8/'Mode Operating Assumptions'!O11)</f>
        <v>6795.5247924811711</v>
      </c>
      <c r="P22" s="227">
        <f>-(P21*'Mode Operating Assumptions'!$C$8/'Mode Operating Assumptions'!P11)</f>
        <v>6835.5678537993435</v>
      </c>
      <c r="Q22" s="227">
        <f>-(Q21*'Mode Operating Assumptions'!$C$8/'Mode Operating Assumptions'!Q11)</f>
        <v>6875.5686177494208</v>
      </c>
      <c r="R22" s="227">
        <f>-(R21*'Mode Operating Assumptions'!$C$8/'Mode Operating Assumptions'!R11)</f>
        <v>6915.5271513139069</v>
      </c>
      <c r="S22" s="227">
        <f>-(S21*'Mode Operating Assumptions'!$C$8/'Mode Operating Assumptions'!S11)</f>
        <v>6955.4435213339466</v>
      </c>
      <c r="T22" s="227">
        <f>-(T21*'Mode Operating Assumptions'!$C$8/'Mode Operating Assumptions'!T11)</f>
        <v>6995.3177945096986</v>
      </c>
      <c r="U22" s="227">
        <f>-(U21*'Mode Operating Assumptions'!$C$8/'Mode Operating Assumptions'!U11)</f>
        <v>7038.039101158337</v>
      </c>
      <c r="V22" s="227">
        <f>-(V21*'Mode Operating Assumptions'!$C$8/'Mode Operating Assumptions'!V11)</f>
        <v>7080.7154002695315</v>
      </c>
      <c r="W22" s="227">
        <f>-(W21*'Mode Operating Assumptions'!$C$8/'Mode Operating Assumptions'!W11)</f>
        <v>7123.3467629300058</v>
      </c>
      <c r="X22" s="227">
        <f>-(X21*'Mode Operating Assumptions'!$C$8/'Mode Operating Assumptions'!X11)</f>
        <v>7165.9332600768648</v>
      </c>
      <c r="Y22" s="227">
        <f>-(Y21*'Mode Operating Assumptions'!$C$8/'Mode Operating Assumptions'!Y11)</f>
        <v>7208.4749624979795</v>
      </c>
      <c r="Z22" s="227">
        <f>-(Z21*'Mode Operating Assumptions'!$C$8/'Mode Operating Assumptions'!Z11)</f>
        <v>7250.971940832389</v>
      </c>
    </row>
    <row r="23" spans="1:26">
      <c r="A23" s="70"/>
      <c r="B23" s="54"/>
      <c r="C23" s="227"/>
      <c r="D23" s="227"/>
      <c r="E23" s="227"/>
      <c r="F23" s="227"/>
      <c r="G23" s="227"/>
      <c r="H23" s="227"/>
      <c r="I23" s="227"/>
      <c r="J23" s="227"/>
      <c r="K23" s="227"/>
      <c r="L23" s="227"/>
      <c r="M23" s="227"/>
      <c r="N23" s="227"/>
      <c r="O23" s="227"/>
      <c r="P23" s="227"/>
      <c r="Q23" s="227"/>
      <c r="R23" s="227"/>
      <c r="S23" s="227"/>
      <c r="T23" s="227"/>
      <c r="U23" s="227"/>
      <c r="V23" s="227"/>
      <c r="W23" s="227"/>
      <c r="X23" s="227"/>
      <c r="Y23" s="227"/>
      <c r="Z23" s="227"/>
    </row>
    <row r="24" spans="1:26">
      <c r="A24" s="70"/>
      <c r="B24" s="54"/>
      <c r="C24" s="227"/>
      <c r="D24" s="227"/>
      <c r="E24" s="227"/>
      <c r="F24" s="227"/>
      <c r="G24" s="227"/>
      <c r="H24" s="227"/>
      <c r="I24" s="227"/>
      <c r="J24" s="227"/>
      <c r="K24" s="227"/>
      <c r="L24" s="227"/>
      <c r="M24" s="227"/>
      <c r="N24" s="227"/>
      <c r="O24" s="227"/>
      <c r="P24" s="227"/>
      <c r="Q24" s="227"/>
      <c r="R24" s="227"/>
      <c r="S24" s="227"/>
      <c r="T24" s="227"/>
      <c r="U24" s="227"/>
      <c r="V24" s="227"/>
      <c r="W24" s="227"/>
      <c r="X24" s="227"/>
      <c r="Y24" s="227"/>
      <c r="Z24" s="227"/>
    </row>
    <row r="25" spans="1:26">
      <c r="A25" s="70"/>
      <c r="B25" s="54"/>
      <c r="C25" s="227"/>
      <c r="D25" s="227"/>
      <c r="E25" s="227"/>
      <c r="F25" s="227"/>
      <c r="G25" s="227"/>
      <c r="H25" s="227"/>
      <c r="I25" s="227"/>
      <c r="J25" s="227"/>
      <c r="K25" s="227"/>
      <c r="L25" s="227"/>
      <c r="M25" s="227"/>
      <c r="N25" s="227"/>
      <c r="O25" s="227"/>
      <c r="P25" s="227"/>
      <c r="Q25" s="227"/>
      <c r="R25" s="227"/>
      <c r="S25" s="227"/>
      <c r="T25" s="227"/>
      <c r="U25" s="227"/>
      <c r="V25" s="227"/>
      <c r="W25" s="227"/>
      <c r="X25" s="227"/>
      <c r="Y25" s="227"/>
      <c r="Z25" s="227"/>
    </row>
    <row r="26" spans="1:26">
      <c r="A26" s="70"/>
      <c r="B26" s="54"/>
      <c r="C26" s="227"/>
      <c r="D26" s="227"/>
      <c r="E26" s="227"/>
      <c r="F26" s="227"/>
      <c r="G26" s="227"/>
      <c r="H26" s="227"/>
      <c r="I26" s="227"/>
      <c r="J26" s="227"/>
      <c r="K26" s="227"/>
      <c r="L26" s="227"/>
      <c r="M26" s="227"/>
      <c r="N26" s="227"/>
      <c r="O26" s="227"/>
      <c r="P26" s="227"/>
      <c r="Q26" s="227"/>
      <c r="R26" s="227"/>
      <c r="S26" s="227"/>
      <c r="T26" s="227"/>
      <c r="U26" s="227"/>
      <c r="V26" s="227"/>
      <c r="W26" s="227"/>
      <c r="X26" s="227"/>
      <c r="Y26" s="227"/>
      <c r="Z26" s="227"/>
    </row>
    <row r="27" spans="1:26">
      <c r="A27" s="70"/>
      <c r="B27" s="54"/>
      <c r="C27" s="227"/>
      <c r="D27" s="227"/>
      <c r="E27" s="227"/>
      <c r="F27" s="227"/>
      <c r="G27" s="227"/>
      <c r="H27" s="227"/>
      <c r="I27" s="227"/>
      <c r="J27" s="227"/>
      <c r="K27" s="227"/>
      <c r="L27" s="227"/>
      <c r="M27" s="227"/>
      <c r="N27" s="227"/>
      <c r="O27" s="227"/>
      <c r="P27" s="227"/>
      <c r="Q27" s="227"/>
      <c r="R27" s="227"/>
      <c r="S27" s="227"/>
      <c r="T27" s="227"/>
      <c r="U27" s="227"/>
      <c r="V27" s="227"/>
      <c r="W27" s="227"/>
      <c r="X27" s="227"/>
      <c r="Y27" s="227"/>
      <c r="Z27" s="227"/>
    </row>
    <row r="28" spans="1:26">
      <c r="A28" s="70"/>
      <c r="B28" s="54"/>
      <c r="C28" s="227"/>
      <c r="D28" s="227"/>
      <c r="E28" s="227"/>
      <c r="F28" s="227"/>
      <c r="G28" s="227"/>
      <c r="H28" s="227"/>
      <c r="I28" s="227"/>
      <c r="J28" s="227"/>
      <c r="K28" s="227"/>
      <c r="L28" s="227"/>
      <c r="M28" s="227"/>
      <c r="N28" s="227"/>
      <c r="O28" s="227"/>
      <c r="P28" s="227"/>
      <c r="Q28" s="227"/>
      <c r="R28" s="227"/>
      <c r="S28" s="227"/>
      <c r="T28" s="227"/>
      <c r="U28" s="227"/>
      <c r="V28" s="227"/>
      <c r="W28" s="227"/>
      <c r="X28" s="227"/>
      <c r="Y28" s="227"/>
      <c r="Z28" s="227"/>
    </row>
    <row r="29" spans="1:26">
      <c r="G29"/>
      <c r="I29"/>
    </row>
    <row r="30" spans="1:26" s="377" customFormat="1" ht="11.25">
      <c r="A30" s="550" t="s">
        <v>248</v>
      </c>
      <c r="B30" s="552" t="s">
        <v>249</v>
      </c>
      <c r="C30" s="553"/>
      <c r="D30" s="553"/>
      <c r="E30" s="554"/>
      <c r="F30" s="552" t="s">
        <v>250</v>
      </c>
      <c r="G30" s="553"/>
      <c r="H30" s="553"/>
      <c r="I30" s="554"/>
    </row>
    <row r="31" spans="1:26" s="377" customFormat="1" ht="12" thickBot="1">
      <c r="A31" s="551"/>
      <c r="B31" s="144">
        <v>2005</v>
      </c>
      <c r="C31" s="145">
        <v>2010</v>
      </c>
      <c r="D31" s="145">
        <v>2020</v>
      </c>
      <c r="E31" s="146">
        <v>2030</v>
      </c>
      <c r="F31" s="144">
        <v>2005</v>
      </c>
      <c r="G31" s="145">
        <v>2010</v>
      </c>
      <c r="H31" s="145">
        <v>2020</v>
      </c>
      <c r="I31" s="146">
        <v>2030</v>
      </c>
    </row>
    <row r="32" spans="1:26">
      <c r="A32" s="372" t="s">
        <v>567</v>
      </c>
      <c r="B32" s="373">
        <v>3384.6666666666683</v>
      </c>
      <c r="C32" s="374">
        <v>3326.3674047520681</v>
      </c>
      <c r="D32" s="374">
        <v>3719.3057863931881</v>
      </c>
      <c r="E32" s="375">
        <v>3963.1835259569139</v>
      </c>
      <c r="F32" s="373">
        <v>3216.6666666666656</v>
      </c>
      <c r="G32" s="374">
        <v>3162.7770702107587</v>
      </c>
      <c r="H32" s="374">
        <v>3545.7415225188024</v>
      </c>
      <c r="I32" s="375">
        <v>3784.0884473947158</v>
      </c>
    </row>
    <row r="33" spans="1:26">
      <c r="D33">
        <f>(D32-C32)/10</f>
        <v>39.293838164112003</v>
      </c>
      <c r="E33">
        <f>(E32-D32)/10</f>
        <v>24.387773956372577</v>
      </c>
      <c r="H33">
        <f>(H32-G32)/10</f>
        <v>38.296445230804373</v>
      </c>
      <c r="I33">
        <f>(I32-H32)/10</f>
        <v>23.834692487591337</v>
      </c>
    </row>
    <row r="34" spans="1:26">
      <c r="D34" s="125">
        <f>D33/C32</f>
        <v>1.1812837664287052E-2</v>
      </c>
      <c r="E34" s="125">
        <f>E33/D32</f>
        <v>6.5570768732147507E-3</v>
      </c>
      <c r="F34" s="125"/>
      <c r="G34" s="378"/>
      <c r="H34" s="125">
        <f>H33/G32</f>
        <v>1.2108487060788134E-2</v>
      </c>
      <c r="I34" s="125">
        <f>I33/H32</f>
        <v>6.7220614746502424E-3</v>
      </c>
    </row>
    <row r="35" spans="1:26">
      <c r="D35" s="125"/>
      <c r="E35" s="125"/>
      <c r="F35" s="125"/>
      <c r="G35" s="378"/>
      <c r="H35" s="125"/>
      <c r="I35" s="125"/>
    </row>
    <row r="36" spans="1:26">
      <c r="C36" s="75">
        <v>2013</v>
      </c>
      <c r="D36" s="75">
        <v>2014</v>
      </c>
      <c r="E36" s="75">
        <v>2015</v>
      </c>
      <c r="F36" s="75">
        <v>2016</v>
      </c>
      <c r="G36" s="75">
        <v>2017</v>
      </c>
      <c r="H36" s="75">
        <v>2018</v>
      </c>
      <c r="I36" s="75">
        <v>2019</v>
      </c>
      <c r="J36" s="75">
        <v>2020</v>
      </c>
      <c r="K36" s="75">
        <v>2021</v>
      </c>
      <c r="L36" s="75">
        <v>2022</v>
      </c>
      <c r="M36" s="75">
        <v>2023</v>
      </c>
      <c r="N36" s="75">
        <v>2024</v>
      </c>
      <c r="O36" s="75">
        <v>2025</v>
      </c>
      <c r="P36" s="75">
        <v>2026</v>
      </c>
      <c r="Q36" s="75">
        <v>2027</v>
      </c>
      <c r="R36" s="75">
        <v>2028</v>
      </c>
      <c r="S36" s="75">
        <v>2029</v>
      </c>
      <c r="T36" s="75">
        <v>2030</v>
      </c>
      <c r="U36" s="75">
        <v>2031</v>
      </c>
      <c r="V36" s="75">
        <v>2032</v>
      </c>
      <c r="W36" s="75">
        <v>2033</v>
      </c>
      <c r="X36" s="75">
        <v>2034</v>
      </c>
      <c r="Y36" s="75">
        <v>2035</v>
      </c>
      <c r="Z36" s="75">
        <v>2036</v>
      </c>
    </row>
    <row r="37" spans="1:26">
      <c r="C37" s="75" t="s">
        <v>18</v>
      </c>
      <c r="D37" s="72" t="s">
        <v>19</v>
      </c>
      <c r="E37" s="72" t="s">
        <v>20</v>
      </c>
      <c r="F37" s="72" t="s">
        <v>21</v>
      </c>
      <c r="G37" s="72" t="s">
        <v>22</v>
      </c>
      <c r="H37" s="72" t="s">
        <v>23</v>
      </c>
      <c r="I37" s="72" t="s">
        <v>24</v>
      </c>
      <c r="J37" s="72" t="s">
        <v>25</v>
      </c>
      <c r="K37" s="72" t="s">
        <v>26</v>
      </c>
      <c r="L37" s="72" t="s">
        <v>27</v>
      </c>
      <c r="M37" s="72" t="s">
        <v>28</v>
      </c>
      <c r="N37" s="72" t="s">
        <v>29</v>
      </c>
      <c r="O37" s="72" t="s">
        <v>30</v>
      </c>
      <c r="P37" s="72" t="s">
        <v>31</v>
      </c>
      <c r="Q37" s="72" t="s">
        <v>32</v>
      </c>
      <c r="R37" s="72" t="s">
        <v>33</v>
      </c>
      <c r="S37" s="72" t="s">
        <v>34</v>
      </c>
      <c r="T37" s="72" t="s">
        <v>35</v>
      </c>
      <c r="U37" s="72" t="s">
        <v>36</v>
      </c>
      <c r="V37" s="72" t="s">
        <v>123</v>
      </c>
      <c r="W37" s="72" t="s">
        <v>242</v>
      </c>
      <c r="X37" s="72" t="s">
        <v>243</v>
      </c>
      <c r="Y37" s="72" t="s">
        <v>244</v>
      </c>
      <c r="Z37" s="72" t="s">
        <v>245</v>
      </c>
    </row>
    <row r="38" spans="1:26">
      <c r="B38" s="26" t="s">
        <v>252</v>
      </c>
      <c r="C38" s="379">
        <f t="shared" ref="C38:I38" si="9">$C$32*(1+($D$34*(C36-2010)))+$G$32*(1+($H$34*(C36-2010)))</f>
        <v>6721.9153251475764</v>
      </c>
      <c r="D38" s="379">
        <f t="shared" si="9"/>
        <v>6799.5056085424922</v>
      </c>
      <c r="E38" s="379">
        <f t="shared" si="9"/>
        <v>6877.0958919374098</v>
      </c>
      <c r="F38" s="379">
        <f t="shared" si="9"/>
        <v>6954.6861753323255</v>
      </c>
      <c r="G38" s="379">
        <f t="shared" si="9"/>
        <v>7032.2764587272413</v>
      </c>
      <c r="H38" s="379">
        <f t="shared" si="9"/>
        <v>7109.866742122158</v>
      </c>
      <c r="I38" s="379">
        <f t="shared" si="9"/>
        <v>7187.4570255170738</v>
      </c>
      <c r="J38" s="147">
        <f>H32+D32</f>
        <v>7265.0473089119905</v>
      </c>
      <c r="K38" s="379">
        <f t="shared" ref="K38:S38" si="10">$D$32*(1+($E$34*(K36-2020)))+$H$32*(1+($I$34*(K36-2020)))</f>
        <v>7313.2697753559542</v>
      </c>
      <c r="L38" s="379">
        <f t="shared" si="10"/>
        <v>7361.4922417999187</v>
      </c>
      <c r="M38" s="379">
        <f t="shared" si="10"/>
        <v>7409.7147082438823</v>
      </c>
      <c r="N38" s="379">
        <f t="shared" si="10"/>
        <v>7457.9371746878469</v>
      </c>
      <c r="O38" s="379">
        <f t="shared" si="10"/>
        <v>7506.1596411318096</v>
      </c>
      <c r="P38" s="379">
        <f t="shared" si="10"/>
        <v>7554.3821075757733</v>
      </c>
      <c r="Q38" s="379">
        <f t="shared" si="10"/>
        <v>7602.6045740197387</v>
      </c>
      <c r="R38" s="379">
        <f t="shared" si="10"/>
        <v>7650.8270404637015</v>
      </c>
      <c r="S38" s="379">
        <f t="shared" si="10"/>
        <v>7699.049506907666</v>
      </c>
      <c r="T38" s="379">
        <f>I32+E32</f>
        <v>7747.2719733516296</v>
      </c>
      <c r="U38" s="379">
        <f t="shared" ref="U38:Z38" si="11">$E$32*(1+($E$34*(U36-2030)))+$I$32*(1+($I$34*(U36-2030)))</f>
        <v>7798.6957475628878</v>
      </c>
      <c r="V38" s="379">
        <f t="shared" si="11"/>
        <v>7850.1195217741479</v>
      </c>
      <c r="W38" s="379">
        <f t="shared" si="11"/>
        <v>7901.5432959854061</v>
      </c>
      <c r="X38" s="379">
        <f t="shared" si="11"/>
        <v>7952.9670701966661</v>
      </c>
      <c r="Y38" s="379">
        <f t="shared" si="11"/>
        <v>8004.3908444079234</v>
      </c>
      <c r="Z38" s="379">
        <f t="shared" si="11"/>
        <v>8055.8146186191825</v>
      </c>
    </row>
    <row r="39" spans="1:26">
      <c r="U39" s="506"/>
    </row>
    <row r="41" spans="1:26" s="155" customFormat="1">
      <c r="A41" s="154" t="s">
        <v>274</v>
      </c>
      <c r="B41" s="154" t="s">
        <v>256</v>
      </c>
      <c r="C41" s="154" t="s">
        <v>257</v>
      </c>
      <c r="D41" s="154" t="s">
        <v>258</v>
      </c>
      <c r="E41" s="154" t="s">
        <v>259</v>
      </c>
      <c r="F41" s="154" t="s">
        <v>260</v>
      </c>
      <c r="G41" s="154" t="s">
        <v>261</v>
      </c>
      <c r="H41" s="154" t="s">
        <v>262</v>
      </c>
      <c r="I41" s="154" t="s">
        <v>263</v>
      </c>
      <c r="J41" s="154" t="s">
        <v>264</v>
      </c>
      <c r="K41" s="154" t="s">
        <v>265</v>
      </c>
      <c r="L41" s="154" t="s">
        <v>266</v>
      </c>
      <c r="M41" s="154" t="s">
        <v>267</v>
      </c>
      <c r="N41" s="154" t="s">
        <v>268</v>
      </c>
      <c r="O41" s="154" t="s">
        <v>269</v>
      </c>
      <c r="P41" s="154" t="s">
        <v>270</v>
      </c>
      <c r="Q41" s="154" t="s">
        <v>271</v>
      </c>
      <c r="R41" s="154" t="s">
        <v>272</v>
      </c>
    </row>
    <row r="42" spans="1:26">
      <c r="A42" s="381" t="s">
        <v>565</v>
      </c>
      <c r="B42" s="382">
        <v>3695.6518399999891</v>
      </c>
      <c r="C42" s="153"/>
      <c r="D42" s="153"/>
      <c r="E42" s="153"/>
      <c r="F42" s="382">
        <v>331.36395000000016</v>
      </c>
      <c r="G42" s="382">
        <v>147.84129000000001</v>
      </c>
      <c r="H42" s="382">
        <v>18.923079999999999</v>
      </c>
      <c r="I42" s="382">
        <v>1029.8900499999991</v>
      </c>
      <c r="J42" s="153"/>
      <c r="K42" s="153"/>
      <c r="L42" s="382">
        <v>366.80232000000012</v>
      </c>
      <c r="M42" s="153"/>
      <c r="N42" s="382">
        <v>9.0277799999999999</v>
      </c>
      <c r="O42" s="382">
        <v>191.36665000000008</v>
      </c>
      <c r="P42" s="382">
        <v>54.960929999999998</v>
      </c>
      <c r="Q42" s="382">
        <v>18.320309999999999</v>
      </c>
      <c r="R42" s="382">
        <v>1527.1554799999965</v>
      </c>
    </row>
    <row r="43" spans="1:26">
      <c r="E43" s="125">
        <f>E42/$B42</f>
        <v>0</v>
      </c>
      <c r="F43" s="125">
        <f t="shared" ref="F43:R43" si="12">F42/$B42</f>
        <v>8.9663194571921886E-2</v>
      </c>
      <c r="G43" s="125">
        <f t="shared" si="12"/>
        <v>4.0004117379195667E-2</v>
      </c>
      <c r="H43" s="125">
        <f t="shared" si="12"/>
        <v>5.1203632861693098E-3</v>
      </c>
      <c r="I43" s="125">
        <f t="shared" si="12"/>
        <v>0.27867615635568155</v>
      </c>
      <c r="J43" s="125">
        <f t="shared" si="12"/>
        <v>0</v>
      </c>
      <c r="K43" s="125">
        <f t="shared" si="12"/>
        <v>0</v>
      </c>
      <c r="L43" s="125">
        <f t="shared" si="12"/>
        <v>9.9252401438334956E-2</v>
      </c>
      <c r="M43" s="125">
        <f t="shared" si="12"/>
        <v>0</v>
      </c>
      <c r="N43" s="125">
        <f t="shared" si="12"/>
        <v>2.4428112795387203E-3</v>
      </c>
      <c r="O43" s="125">
        <f t="shared" si="12"/>
        <v>5.178156879626427E-2</v>
      </c>
      <c r="P43" s="125">
        <f t="shared" si="12"/>
        <v>1.4871782402532853E-2</v>
      </c>
      <c r="Q43" s="125">
        <f t="shared" si="12"/>
        <v>4.9572608008442848E-3</v>
      </c>
      <c r="R43" s="125">
        <f t="shared" si="12"/>
        <v>0.41323034368951839</v>
      </c>
    </row>
    <row r="44" spans="1:26" ht="15">
      <c r="B44" s="135" t="s">
        <v>273</v>
      </c>
      <c r="G44"/>
      <c r="I44"/>
    </row>
    <row r="45" spans="1:26">
      <c r="C45" s="75">
        <v>2013</v>
      </c>
      <c r="D45" s="75">
        <v>2014</v>
      </c>
      <c r="E45" s="75">
        <v>2015</v>
      </c>
      <c r="F45" s="75">
        <v>2016</v>
      </c>
      <c r="G45" s="75">
        <v>2017</v>
      </c>
      <c r="H45" s="75">
        <v>2018</v>
      </c>
      <c r="I45" s="75">
        <v>2019</v>
      </c>
      <c r="J45" s="75">
        <v>2020</v>
      </c>
      <c r="K45" s="75">
        <v>2021</v>
      </c>
      <c r="L45" s="75">
        <v>2022</v>
      </c>
      <c r="M45" s="75">
        <v>2023</v>
      </c>
      <c r="N45" s="75">
        <v>2024</v>
      </c>
      <c r="O45" s="75">
        <v>2025</v>
      </c>
      <c r="P45" s="75">
        <v>2026</v>
      </c>
      <c r="Q45" s="75">
        <v>2027</v>
      </c>
      <c r="R45" s="75">
        <v>2028</v>
      </c>
      <c r="S45" s="75">
        <v>2029</v>
      </c>
      <c r="T45" s="75">
        <v>2030</v>
      </c>
      <c r="U45" s="75">
        <v>2031</v>
      </c>
      <c r="V45" s="75">
        <v>2032</v>
      </c>
      <c r="W45" s="75">
        <v>2033</v>
      </c>
      <c r="X45" s="75">
        <v>2034</v>
      </c>
      <c r="Y45" s="75">
        <v>2035</v>
      </c>
      <c r="Z45" s="75">
        <v>2036</v>
      </c>
    </row>
    <row r="46" spans="1:26">
      <c r="C46" s="75" t="s">
        <v>18</v>
      </c>
      <c r="D46" s="72" t="s">
        <v>19</v>
      </c>
      <c r="E46" s="72" t="s">
        <v>20</v>
      </c>
      <c r="F46" s="72" t="s">
        <v>21</v>
      </c>
      <c r="G46" s="72" t="s">
        <v>22</v>
      </c>
      <c r="H46" s="72" t="s">
        <v>23</v>
      </c>
      <c r="I46" s="72" t="s">
        <v>24</v>
      </c>
      <c r="J46" s="72" t="s">
        <v>25</v>
      </c>
      <c r="K46" s="72" t="s">
        <v>26</v>
      </c>
      <c r="L46" s="72" t="s">
        <v>27</v>
      </c>
      <c r="M46" s="72" t="s">
        <v>28</v>
      </c>
      <c r="N46" s="72" t="s">
        <v>29</v>
      </c>
      <c r="O46" s="72" t="s">
        <v>30</v>
      </c>
      <c r="P46" s="72" t="s">
        <v>31</v>
      </c>
      <c r="Q46" s="72" t="s">
        <v>32</v>
      </c>
      <c r="R46" s="72" t="s">
        <v>33</v>
      </c>
      <c r="S46" s="72" t="s">
        <v>34</v>
      </c>
      <c r="T46" s="72" t="s">
        <v>35</v>
      </c>
      <c r="U46" s="72" t="s">
        <v>36</v>
      </c>
      <c r="V46" s="72" t="s">
        <v>123</v>
      </c>
      <c r="W46" s="72" t="s">
        <v>242</v>
      </c>
      <c r="X46" s="72" t="s">
        <v>243</v>
      </c>
      <c r="Y46" s="72" t="s">
        <v>244</v>
      </c>
      <c r="Z46" s="72" t="s">
        <v>245</v>
      </c>
    </row>
    <row r="47" spans="1:26">
      <c r="A47" s="130">
        <f>R43</f>
        <v>0.41323034368951839</v>
      </c>
      <c r="B47" t="s">
        <v>125</v>
      </c>
      <c r="C47" s="34">
        <f>C$53*$A47</f>
        <v>2777.6993800625792</v>
      </c>
      <c r="D47" s="34">
        <f t="shared" ref="D47:S52" si="13">D$53*$A47</f>
        <v>2809.7620395368276</v>
      </c>
      <c r="E47" s="34">
        <f t="shared" si="13"/>
        <v>2841.8246990110765</v>
      </c>
      <c r="F47" s="34">
        <f t="shared" si="13"/>
        <v>2873.8873584853245</v>
      </c>
      <c r="G47" s="34">
        <f t="shared" si="13"/>
        <v>2905.950017959573</v>
      </c>
      <c r="H47" s="34">
        <f t="shared" si="13"/>
        <v>2938.0126774338219</v>
      </c>
      <c r="I47" s="34">
        <f t="shared" si="13"/>
        <v>2970.0753369080699</v>
      </c>
      <c r="J47" s="34">
        <f t="shared" si="13"/>
        <v>3002.1379963823183</v>
      </c>
      <c r="K47" s="34">
        <f t="shared" si="13"/>
        <v>3022.0649827645138</v>
      </c>
      <c r="L47" s="34">
        <f t="shared" si="13"/>
        <v>3041.9919691467098</v>
      </c>
      <c r="M47" s="34">
        <f t="shared" si="13"/>
        <v>3061.9189555289049</v>
      </c>
      <c r="N47" s="34">
        <f t="shared" si="13"/>
        <v>3081.8459419111009</v>
      </c>
      <c r="O47" s="34">
        <f t="shared" si="13"/>
        <v>3101.7729282932955</v>
      </c>
      <c r="P47" s="34">
        <f t="shared" si="13"/>
        <v>3121.6999146754915</v>
      </c>
      <c r="Q47" s="34">
        <f t="shared" si="13"/>
        <v>3141.6269010576875</v>
      </c>
      <c r="R47" s="34">
        <f t="shared" si="13"/>
        <v>3161.5538874398826</v>
      </c>
      <c r="S47" s="34">
        <f t="shared" si="13"/>
        <v>3181.4808738220781</v>
      </c>
      <c r="T47" s="34">
        <f t="shared" ref="S47:Z52" si="14">T$53*$A47</f>
        <v>3201.4078602042737</v>
      </c>
      <c r="U47" s="34">
        <f t="shared" si="14"/>
        <v>3222.6577240954039</v>
      </c>
      <c r="V47" s="34">
        <f t="shared" si="14"/>
        <v>3243.9075879865354</v>
      </c>
      <c r="W47" s="34">
        <f t="shared" si="14"/>
        <v>3265.1574518776656</v>
      </c>
      <c r="X47" s="34">
        <f t="shared" si="14"/>
        <v>3286.4073157687967</v>
      </c>
      <c r="Y47" s="34">
        <f t="shared" si="14"/>
        <v>3307.6571796599274</v>
      </c>
      <c r="Z47" s="34">
        <f t="shared" si="14"/>
        <v>3328.907043551058</v>
      </c>
    </row>
    <row r="48" spans="1:26">
      <c r="A48" s="130">
        <f>G43</f>
        <v>4.0004117379195667E-2</v>
      </c>
      <c r="B48" t="s">
        <v>222</v>
      </c>
      <c r="C48" s="34">
        <f t="shared" ref="C48:C52" si="15">C$53*$A48</f>
        <v>268.90428968021837</v>
      </c>
      <c r="D48" s="34">
        <f t="shared" si="13"/>
        <v>272.00822048463368</v>
      </c>
      <c r="E48" s="34">
        <f t="shared" si="13"/>
        <v>275.112151289049</v>
      </c>
      <c r="F48" s="34">
        <f t="shared" si="13"/>
        <v>278.21608209346425</v>
      </c>
      <c r="G48" s="34">
        <f t="shared" si="13"/>
        <v>281.32001289787956</v>
      </c>
      <c r="H48" s="34">
        <f t="shared" si="13"/>
        <v>284.42394370229488</v>
      </c>
      <c r="I48" s="34">
        <f t="shared" si="13"/>
        <v>287.52787450671013</v>
      </c>
      <c r="J48" s="34">
        <f t="shared" si="13"/>
        <v>290.63180531112545</v>
      </c>
      <c r="K48" s="34">
        <f t="shared" si="13"/>
        <v>292.56090251906409</v>
      </c>
      <c r="L48" s="34">
        <f t="shared" si="13"/>
        <v>294.48999972700278</v>
      </c>
      <c r="M48" s="34">
        <f t="shared" si="13"/>
        <v>296.41909693494142</v>
      </c>
      <c r="N48" s="34">
        <f t="shared" si="13"/>
        <v>298.34819414288012</v>
      </c>
      <c r="O48" s="34">
        <f t="shared" si="13"/>
        <v>300.2772913508187</v>
      </c>
      <c r="P48" s="34">
        <f t="shared" si="13"/>
        <v>302.2063885587574</v>
      </c>
      <c r="Q48" s="34">
        <f t="shared" si="13"/>
        <v>304.13548576669609</v>
      </c>
      <c r="R48" s="34">
        <f t="shared" si="13"/>
        <v>306.06458297463473</v>
      </c>
      <c r="S48" s="34">
        <f t="shared" si="14"/>
        <v>307.99368018257343</v>
      </c>
      <c r="T48" s="34">
        <f t="shared" si="14"/>
        <v>309.92277739051207</v>
      </c>
      <c r="U48" s="34">
        <f t="shared" si="14"/>
        <v>311.97994009014047</v>
      </c>
      <c r="V48" s="34">
        <f t="shared" si="14"/>
        <v>314.03710278976899</v>
      </c>
      <c r="W48" s="34">
        <f t="shared" si="14"/>
        <v>316.0942654893974</v>
      </c>
      <c r="X48" s="34">
        <f t="shared" si="14"/>
        <v>318.15142818902592</v>
      </c>
      <c r="Y48" s="34">
        <f t="shared" si="14"/>
        <v>320.20859088865433</v>
      </c>
      <c r="Z48" s="34">
        <f t="shared" si="14"/>
        <v>322.26575358828279</v>
      </c>
    </row>
    <row r="49" spans="1:26">
      <c r="A49" s="130">
        <f>I43</f>
        <v>0.27867615635568155</v>
      </c>
      <c r="B49" s="26" t="s">
        <v>227</v>
      </c>
      <c r="C49" s="34">
        <f t="shared" si="15"/>
        <v>1873.2375261604818</v>
      </c>
      <c r="D49" s="34">
        <f t="shared" si="13"/>
        <v>1894.8600881075249</v>
      </c>
      <c r="E49" s="34">
        <f t="shared" si="13"/>
        <v>1916.4826500545687</v>
      </c>
      <c r="F49" s="34">
        <f t="shared" si="13"/>
        <v>1938.1052120016118</v>
      </c>
      <c r="G49" s="34">
        <f t="shared" si="13"/>
        <v>1959.7277739486551</v>
      </c>
      <c r="H49" s="34">
        <f t="shared" si="13"/>
        <v>1981.3503358956987</v>
      </c>
      <c r="I49" s="34">
        <f t="shared" si="13"/>
        <v>2002.972897842742</v>
      </c>
      <c r="J49" s="34">
        <f t="shared" si="13"/>
        <v>2024.5954597897853</v>
      </c>
      <c r="K49" s="34">
        <f t="shared" si="13"/>
        <v>2038.0339113883799</v>
      </c>
      <c r="L49" s="34">
        <f t="shared" si="13"/>
        <v>2051.472362986975</v>
      </c>
      <c r="M49" s="34">
        <f t="shared" si="13"/>
        <v>2064.9108145855694</v>
      </c>
      <c r="N49" s="34">
        <f t="shared" si="13"/>
        <v>2078.3492661841642</v>
      </c>
      <c r="O49" s="34">
        <f t="shared" si="13"/>
        <v>2091.7877177827586</v>
      </c>
      <c r="P49" s="34">
        <f t="shared" si="13"/>
        <v>2105.2261693813534</v>
      </c>
      <c r="Q49" s="34">
        <f t="shared" si="13"/>
        <v>2118.6646209799487</v>
      </c>
      <c r="R49" s="34">
        <f t="shared" si="13"/>
        <v>2132.1030725785431</v>
      </c>
      <c r="S49" s="34">
        <f t="shared" si="14"/>
        <v>2145.5415241771379</v>
      </c>
      <c r="T49" s="34">
        <f t="shared" si="14"/>
        <v>2158.9799757757328</v>
      </c>
      <c r="U49" s="34">
        <f t="shared" si="14"/>
        <v>2173.3105555182283</v>
      </c>
      <c r="V49" s="34">
        <f t="shared" si="14"/>
        <v>2187.6411352607247</v>
      </c>
      <c r="W49" s="34">
        <f t="shared" si="14"/>
        <v>2201.9717150032207</v>
      </c>
      <c r="X49" s="34">
        <f t="shared" si="14"/>
        <v>2216.3022947457171</v>
      </c>
      <c r="Y49" s="34">
        <f t="shared" si="14"/>
        <v>2230.632874488213</v>
      </c>
      <c r="Z49" s="34">
        <f t="shared" si="14"/>
        <v>2244.963454230709</v>
      </c>
    </row>
    <row r="50" spans="1:26">
      <c r="A50" s="130">
        <f>F43</f>
        <v>8.9663194571921886E-2</v>
      </c>
      <c r="B50" s="26" t="s">
        <v>228</v>
      </c>
      <c r="C50" s="34">
        <f t="shared" si="15"/>
        <v>602.70840169469193</v>
      </c>
      <c r="D50" s="34">
        <f t="shared" si="13"/>
        <v>609.66539437162078</v>
      </c>
      <c r="E50" s="34">
        <f t="shared" si="13"/>
        <v>616.62238704854985</v>
      </c>
      <c r="F50" s="34">
        <f t="shared" si="13"/>
        <v>623.57937972547882</v>
      </c>
      <c r="G50" s="34">
        <f t="shared" si="13"/>
        <v>630.53637240240766</v>
      </c>
      <c r="H50" s="34">
        <f t="shared" si="13"/>
        <v>637.49336507933674</v>
      </c>
      <c r="I50" s="34">
        <f t="shared" si="13"/>
        <v>644.45035775626559</v>
      </c>
      <c r="J50" s="34">
        <f t="shared" si="13"/>
        <v>651.40735043319455</v>
      </c>
      <c r="K50" s="34">
        <f t="shared" si="13"/>
        <v>655.73113082469774</v>
      </c>
      <c r="L50" s="34">
        <f t="shared" si="13"/>
        <v>660.05491121620082</v>
      </c>
      <c r="M50" s="34">
        <f t="shared" si="13"/>
        <v>664.3786916077039</v>
      </c>
      <c r="N50" s="34">
        <f t="shared" si="13"/>
        <v>668.70247199920709</v>
      </c>
      <c r="O50" s="34">
        <f t="shared" si="13"/>
        <v>673.02625239071006</v>
      </c>
      <c r="P50" s="34">
        <f t="shared" si="13"/>
        <v>677.35003278221325</v>
      </c>
      <c r="Q50" s="34">
        <f t="shared" si="13"/>
        <v>681.67381317371655</v>
      </c>
      <c r="R50" s="34">
        <f t="shared" si="13"/>
        <v>685.99759356521952</v>
      </c>
      <c r="S50" s="34">
        <f t="shared" si="14"/>
        <v>690.32137395672271</v>
      </c>
      <c r="T50" s="34">
        <f t="shared" si="14"/>
        <v>694.64515434822579</v>
      </c>
      <c r="U50" s="34">
        <f t="shared" si="14"/>
        <v>699.25597422095245</v>
      </c>
      <c r="V50" s="34">
        <f t="shared" si="14"/>
        <v>703.86679409367923</v>
      </c>
      <c r="W50" s="34">
        <f t="shared" si="14"/>
        <v>708.47761396640578</v>
      </c>
      <c r="X50" s="34">
        <f t="shared" si="14"/>
        <v>713.08843383913256</v>
      </c>
      <c r="Y50" s="34">
        <f t="shared" si="14"/>
        <v>717.69925371185923</v>
      </c>
      <c r="Z50" s="34">
        <f t="shared" si="14"/>
        <v>722.31007358458589</v>
      </c>
    </row>
    <row r="51" spans="1:26">
      <c r="A51" s="130">
        <f>H43+L43+N43+O43</f>
        <v>0.15859714480030726</v>
      </c>
      <c r="B51" t="s">
        <v>221</v>
      </c>
      <c r="C51" s="34">
        <f t="shared" si="15"/>
        <v>1066.0765781578368</v>
      </c>
      <c r="D51" s="34">
        <f t="shared" si="13"/>
        <v>1078.3821755685171</v>
      </c>
      <c r="E51" s="34">
        <f t="shared" si="13"/>
        <v>1090.6877729791977</v>
      </c>
      <c r="F51" s="34">
        <f t="shared" si="13"/>
        <v>1102.993370389878</v>
      </c>
      <c r="G51" s="34">
        <f t="shared" si="13"/>
        <v>1115.2989678005583</v>
      </c>
      <c r="H51" s="34">
        <f t="shared" si="13"/>
        <v>1127.6045652112391</v>
      </c>
      <c r="I51" s="34">
        <f t="shared" si="13"/>
        <v>1139.9101626219194</v>
      </c>
      <c r="J51" s="34">
        <f t="shared" si="13"/>
        <v>1152.2157600325997</v>
      </c>
      <c r="K51" s="34">
        <f t="shared" si="13"/>
        <v>1159.8637055258412</v>
      </c>
      <c r="L51" s="34">
        <f t="shared" si="13"/>
        <v>1167.5116510190826</v>
      </c>
      <c r="M51" s="34">
        <f t="shared" si="13"/>
        <v>1175.1595965123238</v>
      </c>
      <c r="N51" s="34">
        <f t="shared" si="13"/>
        <v>1182.8075420055652</v>
      </c>
      <c r="O51" s="34">
        <f t="shared" si="13"/>
        <v>1190.4554874988064</v>
      </c>
      <c r="P51" s="34">
        <f t="shared" si="13"/>
        <v>1198.1034329920476</v>
      </c>
      <c r="Q51" s="34">
        <f t="shared" si="13"/>
        <v>1205.7513784852893</v>
      </c>
      <c r="R51" s="34">
        <f t="shared" si="13"/>
        <v>1213.3993239785304</v>
      </c>
      <c r="S51" s="34">
        <f t="shared" si="14"/>
        <v>1221.0472694717719</v>
      </c>
      <c r="T51" s="34">
        <f t="shared" si="14"/>
        <v>1228.6952149650131</v>
      </c>
      <c r="U51" s="34">
        <f t="shared" si="14"/>
        <v>1236.8508787297742</v>
      </c>
      <c r="V51" s="34">
        <f t="shared" si="14"/>
        <v>1245.0065424945358</v>
      </c>
      <c r="W51" s="34">
        <f t="shared" si="14"/>
        <v>1253.1622062592969</v>
      </c>
      <c r="X51" s="34">
        <f t="shared" si="14"/>
        <v>1261.3178700240585</v>
      </c>
      <c r="Y51" s="34">
        <f t="shared" si="14"/>
        <v>1269.4735337888196</v>
      </c>
      <c r="Z51" s="34">
        <f t="shared" si="14"/>
        <v>1277.6291975535812</v>
      </c>
    </row>
    <row r="52" spans="1:26">
      <c r="A52" s="130">
        <f>P43+Q43</f>
        <v>1.9829043203377139E-2</v>
      </c>
      <c r="B52" s="26" t="s">
        <v>226</v>
      </c>
      <c r="C52" s="34">
        <f t="shared" si="15"/>
        <v>133.28914939179444</v>
      </c>
      <c r="D52" s="34">
        <f t="shared" si="13"/>
        <v>134.82769047339451</v>
      </c>
      <c r="E52" s="34">
        <f t="shared" si="13"/>
        <v>136.36623155499461</v>
      </c>
      <c r="F52" s="34">
        <f t="shared" si="13"/>
        <v>137.90477263659466</v>
      </c>
      <c r="G52" s="34">
        <f t="shared" si="13"/>
        <v>139.44331371819473</v>
      </c>
      <c r="H52" s="34">
        <f t="shared" si="13"/>
        <v>140.98185479979483</v>
      </c>
      <c r="I52" s="34">
        <f t="shared" si="13"/>
        <v>142.52039588139488</v>
      </c>
      <c r="J52" s="34">
        <f t="shared" si="13"/>
        <v>144.05893696299498</v>
      </c>
      <c r="K52" s="34">
        <f t="shared" si="13"/>
        <v>145.01514233348573</v>
      </c>
      <c r="L52" s="34">
        <f t="shared" si="13"/>
        <v>145.97134770397651</v>
      </c>
      <c r="M52" s="34">
        <f t="shared" si="13"/>
        <v>146.92755307446726</v>
      </c>
      <c r="N52" s="34">
        <f t="shared" si="13"/>
        <v>147.88375844495803</v>
      </c>
      <c r="O52" s="34">
        <f t="shared" si="13"/>
        <v>148.83996381544878</v>
      </c>
      <c r="P52" s="34">
        <f t="shared" si="13"/>
        <v>149.79616918593956</v>
      </c>
      <c r="Q52" s="34">
        <f t="shared" si="13"/>
        <v>150.75237455643037</v>
      </c>
      <c r="R52" s="34">
        <f t="shared" si="13"/>
        <v>151.70857992692109</v>
      </c>
      <c r="S52" s="34">
        <f t="shared" si="14"/>
        <v>152.66478529741187</v>
      </c>
      <c r="T52" s="34">
        <f t="shared" si="14"/>
        <v>153.62099066790265</v>
      </c>
      <c r="U52" s="34">
        <f t="shared" si="14"/>
        <v>154.64067490841839</v>
      </c>
      <c r="V52" s="34">
        <f t="shared" si="14"/>
        <v>155.66035914893416</v>
      </c>
      <c r="W52" s="34">
        <f t="shared" si="14"/>
        <v>156.68004338944993</v>
      </c>
      <c r="X52" s="34">
        <f t="shared" si="14"/>
        <v>157.69972762996571</v>
      </c>
      <c r="Y52" s="34">
        <f t="shared" si="14"/>
        <v>158.71941187048145</v>
      </c>
      <c r="Z52" s="34">
        <f t="shared" si="14"/>
        <v>159.73909611099722</v>
      </c>
    </row>
    <row r="53" spans="1:26">
      <c r="A53" s="130">
        <f>SUM(A47:A52)</f>
        <v>1.000000000000002</v>
      </c>
      <c r="B53" s="53"/>
      <c r="C53" s="34">
        <f>C$38*$A53</f>
        <v>6721.91532514759</v>
      </c>
      <c r="D53" s="34">
        <f t="shared" ref="D53:Z53" si="16">D$38*$A53</f>
        <v>6799.5056085425058</v>
      </c>
      <c r="E53" s="34">
        <f t="shared" si="16"/>
        <v>6877.0958919374234</v>
      </c>
      <c r="F53" s="34">
        <f t="shared" si="16"/>
        <v>6954.6861753323392</v>
      </c>
      <c r="G53" s="34">
        <f t="shared" si="16"/>
        <v>7032.276458727255</v>
      </c>
      <c r="H53" s="34">
        <f t="shared" si="16"/>
        <v>7109.8667421221726</v>
      </c>
      <c r="I53" s="34">
        <f t="shared" si="16"/>
        <v>7187.4570255170884</v>
      </c>
      <c r="J53" s="34">
        <f t="shared" si="16"/>
        <v>7265.0473089120051</v>
      </c>
      <c r="K53" s="34">
        <f t="shared" si="16"/>
        <v>7313.2697753559687</v>
      </c>
      <c r="L53" s="34">
        <f t="shared" si="16"/>
        <v>7361.4922417999333</v>
      </c>
      <c r="M53" s="34">
        <f t="shared" si="16"/>
        <v>7409.7147082438969</v>
      </c>
      <c r="N53" s="34">
        <f t="shared" si="16"/>
        <v>7457.9371746878614</v>
      </c>
      <c r="O53" s="34">
        <f t="shared" si="16"/>
        <v>7506.1596411318242</v>
      </c>
      <c r="P53" s="34">
        <f t="shared" si="16"/>
        <v>7554.3821075757887</v>
      </c>
      <c r="Q53" s="34">
        <f t="shared" si="16"/>
        <v>7602.6045740197542</v>
      </c>
      <c r="R53" s="34">
        <f t="shared" si="16"/>
        <v>7650.8270404637169</v>
      </c>
      <c r="S53" s="34">
        <f t="shared" si="16"/>
        <v>7699.0495069076815</v>
      </c>
      <c r="T53" s="34">
        <f t="shared" si="16"/>
        <v>7747.2719733516451</v>
      </c>
      <c r="U53" s="34">
        <f t="shared" si="16"/>
        <v>7798.6957475629033</v>
      </c>
      <c r="V53" s="34">
        <f t="shared" si="16"/>
        <v>7850.1195217741633</v>
      </c>
      <c r="W53" s="34">
        <f t="shared" si="16"/>
        <v>7901.5432959854215</v>
      </c>
      <c r="X53" s="34">
        <f t="shared" si="16"/>
        <v>7952.9670701966816</v>
      </c>
      <c r="Y53" s="34">
        <f t="shared" si="16"/>
        <v>8004.3908444079398</v>
      </c>
      <c r="Z53" s="34">
        <f t="shared" si="16"/>
        <v>8055.8146186191989</v>
      </c>
    </row>
    <row r="55" spans="1:26">
      <c r="A55" s="26" t="s">
        <v>392</v>
      </c>
      <c r="G55"/>
      <c r="I55"/>
    </row>
    <row r="56" spans="1:26">
      <c r="B56" s="26" t="s">
        <v>566</v>
      </c>
      <c r="G56"/>
      <c r="I56"/>
    </row>
    <row r="57" spans="1:26">
      <c r="B57" s="231">
        <v>0.25</v>
      </c>
      <c r="C57">
        <f>B57*C38</f>
        <v>1680.4788312868941</v>
      </c>
      <c r="G57"/>
      <c r="I57"/>
    </row>
    <row r="58" spans="1:26">
      <c r="A58" s="5" t="s">
        <v>351</v>
      </c>
      <c r="G58"/>
      <c r="I58"/>
    </row>
    <row r="59" spans="1:26">
      <c r="A59" s="26" t="s">
        <v>350</v>
      </c>
      <c r="B59" s="26" t="s">
        <v>395</v>
      </c>
      <c r="G59"/>
      <c r="I59"/>
    </row>
    <row r="60" spans="1:26">
      <c r="B60" s="230">
        <v>300</v>
      </c>
      <c r="C60" s="327">
        <f>$B$57*C47*$B$60</f>
        <v>208327.45350469343</v>
      </c>
      <c r="D60" s="327">
        <f t="shared" ref="D60:Z60" si="17">$B$57*D47*$B$60</f>
        <v>210732.15296526207</v>
      </c>
      <c r="E60" s="327">
        <f t="shared" si="17"/>
        <v>213136.85242583073</v>
      </c>
      <c r="F60" s="327">
        <f t="shared" si="17"/>
        <v>215541.55188639933</v>
      </c>
      <c r="G60" s="327">
        <f t="shared" si="17"/>
        <v>217946.25134696797</v>
      </c>
      <c r="H60" s="327">
        <f t="shared" si="17"/>
        <v>220350.95080753663</v>
      </c>
      <c r="I60" s="327">
        <f t="shared" si="17"/>
        <v>222755.65026810524</v>
      </c>
      <c r="J60" s="327">
        <f t="shared" si="17"/>
        <v>225160.34972867387</v>
      </c>
      <c r="K60" s="327">
        <f t="shared" si="17"/>
        <v>226654.87370733853</v>
      </c>
      <c r="L60" s="327">
        <f t="shared" si="17"/>
        <v>228149.39768600324</v>
      </c>
      <c r="M60" s="327">
        <f t="shared" si="17"/>
        <v>229643.92166466787</v>
      </c>
      <c r="N60" s="327">
        <f t="shared" si="17"/>
        <v>231138.44564333255</v>
      </c>
      <c r="O60" s="327">
        <f t="shared" si="17"/>
        <v>232632.96962199715</v>
      </c>
      <c r="P60" s="327">
        <f t="shared" si="17"/>
        <v>234127.49360066187</v>
      </c>
      <c r="Q60" s="327">
        <f t="shared" si="17"/>
        <v>235622.01757932655</v>
      </c>
      <c r="R60" s="327">
        <f t="shared" si="17"/>
        <v>237116.54155799121</v>
      </c>
      <c r="S60" s="327">
        <f t="shared" si="17"/>
        <v>238611.06553665586</v>
      </c>
      <c r="T60" s="327">
        <f t="shared" si="17"/>
        <v>240105.58951532052</v>
      </c>
      <c r="U60" s="327">
        <f t="shared" si="17"/>
        <v>241699.32930715528</v>
      </c>
      <c r="V60" s="327">
        <f t="shared" si="17"/>
        <v>243293.06909899015</v>
      </c>
      <c r="W60" s="327">
        <f t="shared" si="17"/>
        <v>244886.80889082493</v>
      </c>
      <c r="X60" s="327">
        <f t="shared" si="17"/>
        <v>246480.54868265975</v>
      </c>
      <c r="Y60" s="327">
        <f t="shared" si="17"/>
        <v>248074.28847449456</v>
      </c>
      <c r="Z60" s="327">
        <f t="shared" si="17"/>
        <v>249668.02826632935</v>
      </c>
    </row>
    <row r="61" spans="1:26">
      <c r="A61" s="26" t="s">
        <v>396</v>
      </c>
      <c r="G61"/>
      <c r="I61"/>
    </row>
    <row r="62" spans="1:26">
      <c r="A62" s="229">
        <v>0.02</v>
      </c>
      <c r="B62" s="54" t="s">
        <v>409</v>
      </c>
      <c r="D62" s="189">
        <f>D60*$A$62</f>
        <v>4214.643059305241</v>
      </c>
      <c r="E62" s="189">
        <f>E60*$A$62</f>
        <v>4262.7370485166148</v>
      </c>
      <c r="F62" s="189">
        <f t="shared" ref="F62:Z62" si="18">F60*$A$62</f>
        <v>4310.8310377279868</v>
      </c>
      <c r="G62" s="189">
        <f t="shared" si="18"/>
        <v>4358.9250269393597</v>
      </c>
      <c r="H62" s="189">
        <f t="shared" si="18"/>
        <v>4407.0190161507326</v>
      </c>
      <c r="I62" s="189">
        <f t="shared" si="18"/>
        <v>4455.1130053621046</v>
      </c>
      <c r="J62" s="189">
        <f t="shared" si="18"/>
        <v>4503.2069945734775</v>
      </c>
      <c r="K62" s="189">
        <f t="shared" si="18"/>
        <v>4533.0974741467708</v>
      </c>
      <c r="L62" s="189">
        <f t="shared" si="18"/>
        <v>4562.987953720065</v>
      </c>
      <c r="M62" s="189">
        <f t="shared" si="18"/>
        <v>4592.8784332933574</v>
      </c>
      <c r="N62" s="189">
        <f t="shared" si="18"/>
        <v>4622.7689128666516</v>
      </c>
      <c r="O62" s="189">
        <f t="shared" si="18"/>
        <v>4652.6593924399431</v>
      </c>
      <c r="P62" s="189">
        <f t="shared" si="18"/>
        <v>4682.5498720132373</v>
      </c>
      <c r="Q62" s="189">
        <f t="shared" si="18"/>
        <v>4712.4403515865315</v>
      </c>
      <c r="R62" s="189">
        <f t="shared" si="18"/>
        <v>4742.3308311598239</v>
      </c>
      <c r="S62" s="189">
        <f t="shared" si="18"/>
        <v>4772.2213107331172</v>
      </c>
      <c r="T62" s="189">
        <f t="shared" si="18"/>
        <v>4802.1117903064105</v>
      </c>
      <c r="U62" s="189">
        <f t="shared" si="18"/>
        <v>4833.9865861431053</v>
      </c>
      <c r="V62" s="189">
        <f t="shared" si="18"/>
        <v>4865.8613819798029</v>
      </c>
      <c r="W62" s="189">
        <f t="shared" si="18"/>
        <v>4897.7361778164986</v>
      </c>
      <c r="X62" s="189">
        <f t="shared" si="18"/>
        <v>4929.6109736531953</v>
      </c>
      <c r="Y62" s="189">
        <f t="shared" si="18"/>
        <v>4961.485769489891</v>
      </c>
      <c r="Z62" s="189">
        <f t="shared" si="18"/>
        <v>4993.3605653265868</v>
      </c>
    </row>
    <row r="63" spans="1:26">
      <c r="A63" s="229">
        <v>0.01</v>
      </c>
      <c r="B63" s="78" t="s">
        <v>402</v>
      </c>
      <c r="D63" s="189">
        <f>D60*$A$63</f>
        <v>2107.3215296526205</v>
      </c>
      <c r="E63" s="189">
        <f>E60*$A$63</f>
        <v>2131.3685242583074</v>
      </c>
      <c r="F63" s="189">
        <f t="shared" ref="F63:Z63" si="19">F60*$A$63</f>
        <v>2155.4155188639934</v>
      </c>
      <c r="G63" s="189">
        <f t="shared" si="19"/>
        <v>2179.4625134696798</v>
      </c>
      <c r="H63" s="189">
        <f t="shared" si="19"/>
        <v>2203.5095080753663</v>
      </c>
      <c r="I63" s="189">
        <f t="shared" si="19"/>
        <v>2227.5565026810523</v>
      </c>
      <c r="J63" s="189">
        <f t="shared" si="19"/>
        <v>2251.6034972867387</v>
      </c>
      <c r="K63" s="189">
        <f t="shared" si="19"/>
        <v>2266.5487370733854</v>
      </c>
      <c r="L63" s="189">
        <f t="shared" si="19"/>
        <v>2281.4939768600325</v>
      </c>
      <c r="M63" s="189">
        <f t="shared" si="19"/>
        <v>2296.4392166466787</v>
      </c>
      <c r="N63" s="189">
        <f t="shared" si="19"/>
        <v>2311.3844564333258</v>
      </c>
      <c r="O63" s="189">
        <f t="shared" si="19"/>
        <v>2326.3296962199715</v>
      </c>
      <c r="P63" s="189">
        <f t="shared" si="19"/>
        <v>2341.2749360066186</v>
      </c>
      <c r="Q63" s="189">
        <f t="shared" si="19"/>
        <v>2356.2201757932658</v>
      </c>
      <c r="R63" s="189">
        <f t="shared" si="19"/>
        <v>2371.165415579912</v>
      </c>
      <c r="S63" s="189">
        <f t="shared" si="19"/>
        <v>2386.1106553665586</v>
      </c>
      <c r="T63" s="189">
        <f t="shared" si="19"/>
        <v>2401.0558951532053</v>
      </c>
      <c r="U63" s="189">
        <f t="shared" si="19"/>
        <v>2416.9932930715527</v>
      </c>
      <c r="V63" s="189">
        <f t="shared" si="19"/>
        <v>2432.9306909899014</v>
      </c>
      <c r="W63" s="189">
        <f t="shared" si="19"/>
        <v>2448.8680889082493</v>
      </c>
      <c r="X63" s="189">
        <f t="shared" si="19"/>
        <v>2464.8054868265976</v>
      </c>
      <c r="Y63" s="189">
        <f t="shared" si="19"/>
        <v>2480.7428847449455</v>
      </c>
      <c r="Z63" s="189">
        <f t="shared" si="19"/>
        <v>2496.6802826632934</v>
      </c>
    </row>
    <row r="64" spans="1:26">
      <c r="A64" s="70"/>
      <c r="B64" s="26"/>
      <c r="G64"/>
      <c r="I64"/>
    </row>
    <row r="65" spans="1:26">
      <c r="A65" s="5" t="s">
        <v>261</v>
      </c>
      <c r="B65" s="26" t="s">
        <v>566</v>
      </c>
      <c r="G65"/>
      <c r="I65"/>
    </row>
    <row r="66" spans="1:26">
      <c r="A66" s="70" t="s">
        <v>350</v>
      </c>
      <c r="B66" s="231">
        <v>0.25</v>
      </c>
      <c r="G66"/>
      <c r="I66"/>
    </row>
    <row r="67" spans="1:26">
      <c r="B67" s="26" t="s">
        <v>395</v>
      </c>
      <c r="C67" s="189"/>
      <c r="D67" s="189"/>
      <c r="E67" s="189"/>
      <c r="F67" s="189"/>
      <c r="G67" s="189"/>
      <c r="H67" s="189"/>
      <c r="I67" s="189"/>
      <c r="J67" s="189"/>
      <c r="K67" s="189"/>
      <c r="L67" s="189"/>
      <c r="M67" s="189"/>
      <c r="N67" s="189"/>
      <c r="O67" s="189"/>
      <c r="P67" s="189"/>
      <c r="Q67" s="189"/>
      <c r="R67" s="189"/>
      <c r="S67" s="189"/>
      <c r="T67" s="189"/>
      <c r="U67" s="189"/>
      <c r="V67" s="189"/>
      <c r="W67" s="189"/>
      <c r="X67" s="189"/>
      <c r="Y67" s="189"/>
      <c r="Z67" s="189"/>
    </row>
    <row r="68" spans="1:26">
      <c r="A68" s="70"/>
      <c r="B68" s="230">
        <v>300</v>
      </c>
      <c r="C68" s="462">
        <f>$B68*$B66*C48</f>
        <v>20167.821726016376</v>
      </c>
      <c r="D68" s="462">
        <f t="shared" ref="D68:Z68" si="20">$B68*$B66*D48</f>
        <v>20400.616536347527</v>
      </c>
      <c r="E68" s="462">
        <f t="shared" si="20"/>
        <v>20633.411346678673</v>
      </c>
      <c r="F68" s="462">
        <f t="shared" si="20"/>
        <v>20866.206157009819</v>
      </c>
      <c r="G68" s="462">
        <f t="shared" si="20"/>
        <v>21099.000967340966</v>
      </c>
      <c r="H68" s="462">
        <f t="shared" si="20"/>
        <v>21331.795777672116</v>
      </c>
      <c r="I68" s="462">
        <f t="shared" si="20"/>
        <v>21564.590588003259</v>
      </c>
      <c r="J68" s="462">
        <f t="shared" si="20"/>
        <v>21797.385398334409</v>
      </c>
      <c r="K68" s="462">
        <f t="shared" si="20"/>
        <v>21942.067688929805</v>
      </c>
      <c r="L68" s="462">
        <f t="shared" si="20"/>
        <v>22086.749979525208</v>
      </c>
      <c r="M68" s="462">
        <f t="shared" si="20"/>
        <v>22231.432270120607</v>
      </c>
      <c r="N68" s="462">
        <f t="shared" si="20"/>
        <v>22376.114560716011</v>
      </c>
      <c r="O68" s="462">
        <f t="shared" si="20"/>
        <v>22520.796851311403</v>
      </c>
      <c r="P68" s="462">
        <f t="shared" si="20"/>
        <v>22665.479141906806</v>
      </c>
      <c r="Q68" s="462">
        <f t="shared" si="20"/>
        <v>22810.161432502206</v>
      </c>
      <c r="R68" s="462">
        <f t="shared" si="20"/>
        <v>22954.843723097605</v>
      </c>
      <c r="S68" s="462">
        <f t="shared" si="20"/>
        <v>23099.526013693008</v>
      </c>
      <c r="T68" s="462">
        <f t="shared" si="20"/>
        <v>23244.208304288404</v>
      </c>
      <c r="U68" s="462">
        <f t="shared" si="20"/>
        <v>23398.495506760537</v>
      </c>
      <c r="V68" s="462">
        <f t="shared" si="20"/>
        <v>23552.782709232673</v>
      </c>
      <c r="W68" s="462">
        <f t="shared" si="20"/>
        <v>23707.069911704806</v>
      </c>
      <c r="X68" s="462">
        <f t="shared" si="20"/>
        <v>23861.357114176943</v>
      </c>
      <c r="Y68" s="462">
        <f t="shared" si="20"/>
        <v>24015.644316649075</v>
      </c>
      <c r="Z68" s="462">
        <f t="shared" si="20"/>
        <v>24169.931519121208</v>
      </c>
    </row>
    <row r="69" spans="1:26">
      <c r="A69" s="229">
        <v>0.1</v>
      </c>
      <c r="B69" s="54" t="s">
        <v>417</v>
      </c>
      <c r="D69" s="189">
        <f>D68*$A$69</f>
        <v>2040.0616536347527</v>
      </c>
      <c r="E69" s="189">
        <f>E68*$A$69</f>
        <v>2063.3411346678672</v>
      </c>
      <c r="F69" s="189">
        <f t="shared" ref="F69:Z69" si="21">F68*$A$69</f>
        <v>2086.6206157009819</v>
      </c>
      <c r="G69" s="189">
        <f t="shared" si="21"/>
        <v>2109.9000967340967</v>
      </c>
      <c r="H69" s="189">
        <f t="shared" si="21"/>
        <v>2133.1795777672119</v>
      </c>
      <c r="I69" s="189">
        <f t="shared" si="21"/>
        <v>2156.4590588003261</v>
      </c>
      <c r="J69" s="189">
        <f t="shared" si="21"/>
        <v>2179.7385398334409</v>
      </c>
      <c r="K69" s="189">
        <f t="shared" si="21"/>
        <v>2194.2067688929806</v>
      </c>
      <c r="L69" s="189">
        <f t="shared" si="21"/>
        <v>2208.6749979525207</v>
      </c>
      <c r="M69" s="189">
        <f t="shared" si="21"/>
        <v>2223.1432270120608</v>
      </c>
      <c r="N69" s="189">
        <f t="shared" si="21"/>
        <v>2237.611456071601</v>
      </c>
      <c r="O69" s="189">
        <f t="shared" si="21"/>
        <v>2252.0796851311402</v>
      </c>
      <c r="P69" s="189">
        <f t="shared" si="21"/>
        <v>2266.5479141906808</v>
      </c>
      <c r="Q69" s="189">
        <f t="shared" si="21"/>
        <v>2281.0161432502205</v>
      </c>
      <c r="R69" s="189">
        <f t="shared" si="21"/>
        <v>2295.4843723097606</v>
      </c>
      <c r="S69" s="189">
        <f t="shared" si="21"/>
        <v>2309.9526013693007</v>
      </c>
      <c r="T69" s="189">
        <f t="shared" si="21"/>
        <v>2324.4208304288404</v>
      </c>
      <c r="U69" s="189">
        <f t="shared" si="21"/>
        <v>2339.8495506760537</v>
      </c>
      <c r="V69" s="189">
        <f t="shared" si="21"/>
        <v>2355.2782709232674</v>
      </c>
      <c r="W69" s="189">
        <f t="shared" si="21"/>
        <v>2370.7069911704807</v>
      </c>
      <c r="X69" s="189">
        <f t="shared" si="21"/>
        <v>2386.1357114176944</v>
      </c>
      <c r="Y69" s="189">
        <f t="shared" si="21"/>
        <v>2401.5644316649077</v>
      </c>
      <c r="Z69" s="189">
        <f t="shared" si="21"/>
        <v>2416.993151912121</v>
      </c>
    </row>
    <row r="70" spans="1:26">
      <c r="A70" s="229">
        <v>0.05</v>
      </c>
      <c r="B70" s="78" t="s">
        <v>411</v>
      </c>
      <c r="D70" s="189">
        <f>D68*$A$70</f>
        <v>1020.0308268173764</v>
      </c>
      <c r="E70" s="189">
        <f>E68*$A$70</f>
        <v>1031.6705673339336</v>
      </c>
      <c r="F70" s="189">
        <f t="shared" ref="F70:Z70" si="22">F68*$A$70</f>
        <v>1043.310307850491</v>
      </c>
      <c r="G70" s="189">
        <f t="shared" si="22"/>
        <v>1054.9500483670483</v>
      </c>
      <c r="H70" s="189">
        <f t="shared" si="22"/>
        <v>1066.5897888836059</v>
      </c>
      <c r="I70" s="189">
        <f t="shared" si="22"/>
        <v>1078.2295294001631</v>
      </c>
      <c r="J70" s="189">
        <f t="shared" si="22"/>
        <v>1089.8692699167204</v>
      </c>
      <c r="K70" s="189">
        <f t="shared" si="22"/>
        <v>1097.1033844464903</v>
      </c>
      <c r="L70" s="189">
        <f t="shared" si="22"/>
        <v>1104.3374989762603</v>
      </c>
      <c r="M70" s="189">
        <f t="shared" si="22"/>
        <v>1111.5716135060304</v>
      </c>
      <c r="N70" s="189">
        <f t="shared" si="22"/>
        <v>1118.8057280358005</v>
      </c>
      <c r="O70" s="189">
        <f t="shared" si="22"/>
        <v>1126.0398425655701</v>
      </c>
      <c r="P70" s="189">
        <f t="shared" si="22"/>
        <v>1133.2739570953404</v>
      </c>
      <c r="Q70" s="189">
        <f t="shared" si="22"/>
        <v>1140.5080716251102</v>
      </c>
      <c r="R70" s="189">
        <f t="shared" si="22"/>
        <v>1147.7421861548803</v>
      </c>
      <c r="S70" s="189">
        <f t="shared" si="22"/>
        <v>1154.9763006846504</v>
      </c>
      <c r="T70" s="189">
        <f t="shared" si="22"/>
        <v>1162.2104152144202</v>
      </c>
      <c r="U70" s="189">
        <f t="shared" si="22"/>
        <v>1169.9247753380268</v>
      </c>
      <c r="V70" s="189">
        <f t="shared" si="22"/>
        <v>1177.6391354616337</v>
      </c>
      <c r="W70" s="189">
        <f t="shared" si="22"/>
        <v>1185.3534955852404</v>
      </c>
      <c r="X70" s="189">
        <f t="shared" si="22"/>
        <v>1193.0678557088472</v>
      </c>
      <c r="Y70" s="189">
        <f t="shared" si="22"/>
        <v>1200.7822158324539</v>
      </c>
      <c r="Z70" s="189">
        <f t="shared" si="22"/>
        <v>1208.4965759560605</v>
      </c>
    </row>
    <row r="85" spans="1:12" s="76" customFormat="1">
      <c r="A85"/>
      <c r="B85"/>
      <c r="C85"/>
      <c r="D85"/>
      <c r="E85"/>
      <c r="F85"/>
      <c r="G85" s="74"/>
      <c r="H85"/>
      <c r="I85" s="74"/>
      <c r="J85"/>
      <c r="K85"/>
      <c r="L85"/>
    </row>
  </sheetData>
  <mergeCells count="3">
    <mergeCell ref="B30:E30"/>
    <mergeCell ref="F30:I30"/>
    <mergeCell ref="A30:A31"/>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G321"/>
  <sheetViews>
    <sheetView topLeftCell="A103" zoomScale="75" zoomScaleNormal="75" workbookViewId="0"/>
  </sheetViews>
  <sheetFormatPr defaultRowHeight="12.75"/>
  <cols>
    <col min="1" max="1" width="18.28515625" customWidth="1"/>
    <col min="2" max="2" width="23.140625" customWidth="1"/>
    <col min="3" max="3" width="52.140625" style="53" customWidth="1"/>
    <col min="4" max="4" width="11.8554687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5.28515625" style="335" customWidth="1"/>
    <col min="33" max="33" width="14.28515625" customWidth="1"/>
    <col min="34" max="34" width="12.140625" bestFit="1" customWidth="1"/>
    <col min="35" max="35" width="11.140625" bestFit="1" customWidth="1"/>
  </cols>
  <sheetData>
    <row r="1" spans="1:33"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3"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334"/>
    </row>
    <row r="3" spans="1:33">
      <c r="A3" s="69"/>
      <c r="B3" s="69"/>
      <c r="D3" s="206"/>
      <c r="E3" s="215"/>
      <c r="AC3" s="261"/>
    </row>
    <row r="4" spans="1:33">
      <c r="A4" s="41"/>
      <c r="B4" s="41"/>
      <c r="C4" s="45"/>
      <c r="D4" s="207"/>
      <c r="E4" s="215"/>
      <c r="AC4" s="261"/>
    </row>
    <row r="5" spans="1:33">
      <c r="A5" s="44" t="s">
        <v>218</v>
      </c>
      <c r="B5" s="44"/>
      <c r="C5" s="55" t="s">
        <v>389</v>
      </c>
      <c r="D5" s="207"/>
      <c r="E5" s="215"/>
      <c r="F5" s="292"/>
      <c r="G5" s="292"/>
      <c r="H5" s="292"/>
      <c r="I5" s="292"/>
      <c r="J5" s="292"/>
      <c r="K5" s="292"/>
      <c r="L5" s="292"/>
      <c r="M5" s="292"/>
      <c r="N5" s="292"/>
      <c r="O5" s="292"/>
      <c r="P5" s="292"/>
      <c r="Q5" s="292"/>
      <c r="R5" s="292"/>
      <c r="S5" s="292"/>
      <c r="T5" s="292"/>
      <c r="U5" s="292"/>
      <c r="V5" s="292"/>
      <c r="W5" s="292"/>
      <c r="X5" s="292"/>
      <c r="Y5" s="292"/>
      <c r="Z5" s="292"/>
      <c r="AA5" s="292"/>
      <c r="AB5" s="292"/>
      <c r="AC5" s="383"/>
      <c r="AD5" s="336"/>
    </row>
    <row r="6" spans="1:33">
      <c r="A6" s="44"/>
      <c r="B6" s="44"/>
      <c r="C6" s="55" t="s">
        <v>388</v>
      </c>
      <c r="D6" s="207"/>
      <c r="E6" s="215"/>
      <c r="F6" s="292">
        <v>-1146378.74</v>
      </c>
      <c r="G6" s="292">
        <v>-5692500</v>
      </c>
      <c r="I6" s="292"/>
      <c r="K6" s="292"/>
      <c r="L6" s="292"/>
      <c r="M6" s="292"/>
      <c r="N6" s="292"/>
      <c r="O6" s="292"/>
      <c r="P6" s="292"/>
      <c r="Q6" s="292"/>
      <c r="R6" s="292"/>
      <c r="S6" s="292"/>
      <c r="T6" s="292"/>
      <c r="U6" s="292"/>
      <c r="V6" s="292"/>
      <c r="W6" s="292"/>
      <c r="X6" s="292"/>
      <c r="Y6" s="292"/>
      <c r="Z6" s="292"/>
      <c r="AA6" s="292"/>
      <c r="AB6" s="292"/>
      <c r="AC6" s="383"/>
      <c r="AD6" s="336"/>
    </row>
    <row r="7" spans="1:33"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37"/>
    </row>
    <row r="8" spans="1:33" s="53" customFormat="1" ht="12">
      <c r="A8" s="58" t="s">
        <v>219</v>
      </c>
      <c r="B8" s="58"/>
      <c r="D8" s="209"/>
      <c r="E8" s="216"/>
      <c r="H8" s="59"/>
      <c r="I8" s="59"/>
      <c r="J8" s="59"/>
      <c r="K8" s="59"/>
      <c r="L8" s="59"/>
      <c r="M8" s="59"/>
      <c r="N8" s="59"/>
      <c r="O8" s="59"/>
      <c r="P8" s="59"/>
      <c r="Q8" s="59"/>
      <c r="R8" s="59"/>
      <c r="S8" s="59"/>
      <c r="T8" s="59"/>
      <c r="U8" s="59"/>
      <c r="V8" s="59"/>
      <c r="W8" s="59"/>
      <c r="X8" s="59"/>
      <c r="Y8" s="59"/>
      <c r="AC8" s="263"/>
      <c r="AD8" s="338"/>
    </row>
    <row r="9" spans="1:33" s="53" customFormat="1" ht="12">
      <c r="A9" s="58"/>
      <c r="B9" s="5" t="s">
        <v>351</v>
      </c>
      <c r="D9" s="209"/>
      <c r="E9" s="216"/>
      <c r="H9" s="380"/>
      <c r="AC9" s="263"/>
      <c r="AD9" s="338"/>
    </row>
    <row r="10" spans="1:33" s="53" customFormat="1" ht="12">
      <c r="A10" s="58"/>
      <c r="B10" s="70" t="s">
        <v>447</v>
      </c>
      <c r="C10" s="70" t="s">
        <v>350</v>
      </c>
      <c r="D10" s="209"/>
      <c r="E10" s="216"/>
      <c r="F10" s="59">
        <f>'A-N Users'!C5</f>
        <v>0</v>
      </c>
      <c r="G10" s="59">
        <f>'A-N Users'!D5</f>
        <v>0</v>
      </c>
      <c r="H10" s="59">
        <f>'A-N Users'!E5</f>
        <v>3657661.424739223</v>
      </c>
      <c r="I10" s="59">
        <f>'A-N Users'!F5</f>
        <v>3632025.6792855039</v>
      </c>
      <c r="J10" s="59">
        <f>'A-N Users'!G5</f>
        <v>3606389.9338317844</v>
      </c>
      <c r="K10" s="59">
        <f>'A-N Users'!H5</f>
        <v>3580754.1883780649</v>
      </c>
      <c r="L10" s="59">
        <f>'A-N Users'!I5</f>
        <v>3555118.4429243449</v>
      </c>
      <c r="M10" s="59">
        <f>'A-N Users'!J5</f>
        <v>3529482.6974706259</v>
      </c>
      <c r="N10" s="59">
        <f>'A-N Users'!K5</f>
        <v>3581536.9486241629</v>
      </c>
      <c r="O10" s="59">
        <f>'A-N Users'!L5</f>
        <v>3633591.1997777</v>
      </c>
      <c r="P10" s="59">
        <f>'A-N Users'!M5</f>
        <v>3685645.4509312371</v>
      </c>
      <c r="Q10" s="59">
        <f>'A-N Users'!N5</f>
        <v>3737699.7020847746</v>
      </c>
      <c r="R10" s="59">
        <f>'A-N Users'!O5</f>
        <v>3789753.9532383112</v>
      </c>
      <c r="S10" s="59">
        <f>'A-N Users'!P5</f>
        <v>3841808.2043918483</v>
      </c>
      <c r="T10" s="59">
        <f>'A-N Users'!Q5</f>
        <v>3893862.4555453863</v>
      </c>
      <c r="U10" s="59">
        <f>'A-N Users'!R5</f>
        <v>3945916.7066989229</v>
      </c>
      <c r="V10" s="59">
        <f>'A-N Users'!S5</f>
        <v>3997970.9578524609</v>
      </c>
      <c r="W10" s="59">
        <f>'A-N Users'!T5</f>
        <v>4050025.2090059975</v>
      </c>
      <c r="X10" s="59">
        <f>'A-N Users'!U5</f>
        <v>4109768.2325304905</v>
      </c>
      <c r="Y10" s="59">
        <f>'A-N Users'!V5</f>
        <v>4169511.2560549839</v>
      </c>
      <c r="Z10" s="59">
        <f>'A-N Users'!W5</f>
        <v>4229254.2795794765</v>
      </c>
      <c r="AA10" s="59">
        <f>'A-N Users'!X5</f>
        <v>4288997.3031039704</v>
      </c>
      <c r="AB10" s="59">
        <f>'A-N Users'!Y5</f>
        <v>4348740.3266284633</v>
      </c>
      <c r="AC10" s="264">
        <f>'A-N Users'!Z5</f>
        <v>4408483.3501529573</v>
      </c>
      <c r="AD10" s="339">
        <f t="shared" ref="AD10:AD64" si="0">SUM(F10:AC10)</f>
        <v>85273997.902830675</v>
      </c>
    </row>
    <row r="11" spans="1:33" s="53" customFormat="1" ht="12">
      <c r="A11" s="58"/>
      <c r="B11" s="70" t="s">
        <v>446</v>
      </c>
      <c r="C11" s="54" t="s">
        <v>415</v>
      </c>
      <c r="D11" s="209"/>
      <c r="E11" s="216"/>
      <c r="F11" s="59">
        <f>'A-N Users'!C6</f>
        <v>0</v>
      </c>
      <c r="G11" s="59">
        <f>'A-N Users'!D6</f>
        <v>0</v>
      </c>
      <c r="H11" s="59">
        <f>'A-N Users'!E6</f>
        <v>36576.61424739223</v>
      </c>
      <c r="I11" s="59">
        <f>'A-N Users'!F6</f>
        <v>36320.256792855042</v>
      </c>
      <c r="J11" s="59">
        <f>'A-N Users'!G6</f>
        <v>36063.899338317846</v>
      </c>
      <c r="K11" s="59">
        <f>'A-N Users'!H6</f>
        <v>35807.54188378065</v>
      </c>
      <c r="L11" s="59">
        <f>'A-N Users'!I6</f>
        <v>35551.184429243447</v>
      </c>
      <c r="M11" s="59">
        <f>'A-N Users'!J6</f>
        <v>35294.826974706259</v>
      </c>
      <c r="N11" s="59">
        <f>'A-N Users'!K6</f>
        <v>35815.369486241631</v>
      </c>
      <c r="O11" s="59">
        <f>'A-N Users'!L6</f>
        <v>36335.911997777002</v>
      </c>
      <c r="P11" s="59">
        <f>'A-N Users'!M6</f>
        <v>36856.454509312374</v>
      </c>
      <c r="Q11" s="59">
        <f>'A-N Users'!N6</f>
        <v>37376.997020847746</v>
      </c>
      <c r="R11" s="59">
        <f>'A-N Users'!O6</f>
        <v>37897.539532383111</v>
      </c>
      <c r="S11" s="59">
        <f>'A-N Users'!P6</f>
        <v>38418.082043918483</v>
      </c>
      <c r="T11" s="59">
        <f>'A-N Users'!Q6</f>
        <v>38938.624555453862</v>
      </c>
      <c r="U11" s="59">
        <f>'A-N Users'!R6</f>
        <v>39459.167066989226</v>
      </c>
      <c r="V11" s="59">
        <f>'A-N Users'!S6</f>
        <v>39979.709578524613</v>
      </c>
      <c r="W11" s="59">
        <f>'A-N Users'!T6</f>
        <v>40500.252090059977</v>
      </c>
      <c r="X11" s="59">
        <f>'A-N Users'!U6</f>
        <v>41097.682325304908</v>
      </c>
      <c r="Y11" s="59">
        <f>'A-N Users'!V6</f>
        <v>41695.112560549838</v>
      </c>
      <c r="Z11" s="59">
        <f>'A-N Users'!W6</f>
        <v>42292.542795794769</v>
      </c>
      <c r="AA11" s="59">
        <f>'A-N Users'!X6</f>
        <v>42889.973031039706</v>
      </c>
      <c r="AB11" s="59">
        <f>'A-N Users'!Y6</f>
        <v>43487.403266284637</v>
      </c>
      <c r="AC11" s="264">
        <f>'A-N Users'!Z6</f>
        <v>44084.833501529574</v>
      </c>
      <c r="AD11" s="339">
        <f t="shared" si="0"/>
        <v>852739.97902830679</v>
      </c>
    </row>
    <row r="12" spans="1:33" s="53" customFormat="1" ht="12">
      <c r="A12" s="58"/>
      <c r="B12" s="70"/>
      <c r="C12" s="78" t="s">
        <v>402</v>
      </c>
      <c r="D12" s="209"/>
      <c r="E12" s="216"/>
      <c r="F12" s="59">
        <f>'A-N Users'!C7</f>
        <v>0</v>
      </c>
      <c r="G12" s="59">
        <f>'A-N Users'!D7</f>
        <v>0</v>
      </c>
      <c r="H12" s="59">
        <f>'A-N Users'!E7</f>
        <v>36576.61424739223</v>
      </c>
      <c r="I12" s="59">
        <f>'A-N Users'!F7</f>
        <v>36320.256792855042</v>
      </c>
      <c r="J12" s="59">
        <f>'A-N Users'!G7</f>
        <v>36063.899338317846</v>
      </c>
      <c r="K12" s="59">
        <f>'A-N Users'!H7</f>
        <v>35807.54188378065</v>
      </c>
      <c r="L12" s="59">
        <f>'A-N Users'!I7</f>
        <v>35551.184429243447</v>
      </c>
      <c r="M12" s="59">
        <f>'A-N Users'!J7</f>
        <v>35294.826974706259</v>
      </c>
      <c r="N12" s="59">
        <f>'A-N Users'!K7</f>
        <v>35815.369486241631</v>
      </c>
      <c r="O12" s="59">
        <f>'A-N Users'!L7</f>
        <v>36335.911997777002</v>
      </c>
      <c r="P12" s="59">
        <f>'A-N Users'!M7</f>
        <v>36856.454509312374</v>
      </c>
      <c r="Q12" s="59">
        <f>'A-N Users'!N7</f>
        <v>37376.997020847746</v>
      </c>
      <c r="R12" s="59">
        <f>'A-N Users'!O7</f>
        <v>37897.539532383111</v>
      </c>
      <c r="S12" s="59">
        <f>'A-N Users'!P7</f>
        <v>38418.082043918483</v>
      </c>
      <c r="T12" s="59">
        <f>'A-N Users'!Q7</f>
        <v>38938.624555453862</v>
      </c>
      <c r="U12" s="59">
        <f>'A-N Users'!R7</f>
        <v>39459.167066989226</v>
      </c>
      <c r="V12" s="59">
        <f>'A-N Users'!S7</f>
        <v>39979.709578524613</v>
      </c>
      <c r="W12" s="59">
        <f>'A-N Users'!T7</f>
        <v>40500.252090059977</v>
      </c>
      <c r="X12" s="59">
        <f>'A-N Users'!U7</f>
        <v>41097.682325304908</v>
      </c>
      <c r="Y12" s="59">
        <f>'A-N Users'!V7</f>
        <v>41695.112560549838</v>
      </c>
      <c r="Z12" s="59">
        <f>'A-N Users'!W7</f>
        <v>42292.542795794769</v>
      </c>
      <c r="AA12" s="59">
        <f>'A-N Users'!X7</f>
        <v>42889.973031039706</v>
      </c>
      <c r="AB12" s="59">
        <f>'A-N Users'!Y7</f>
        <v>43487.403266284637</v>
      </c>
      <c r="AC12" s="264">
        <f>'A-N Users'!Z7</f>
        <v>44084.833501529574</v>
      </c>
      <c r="AD12" s="339">
        <f t="shared" si="0"/>
        <v>852739.97902830679</v>
      </c>
    </row>
    <row r="13" spans="1:33" s="53" customFormat="1" ht="12">
      <c r="A13" s="58"/>
      <c r="B13" s="70"/>
      <c r="D13" s="209"/>
      <c r="E13" s="216"/>
      <c r="AC13" s="263"/>
      <c r="AD13" s="339"/>
    </row>
    <row r="14" spans="1:33" s="53" customFormat="1" ht="12">
      <c r="A14" s="58"/>
      <c r="B14" s="5" t="s">
        <v>261</v>
      </c>
      <c r="D14" s="209"/>
      <c r="E14" s="216"/>
      <c r="AC14" s="263"/>
      <c r="AD14" s="339"/>
    </row>
    <row r="15" spans="1:33" s="53" customFormat="1" ht="12">
      <c r="A15" s="58"/>
      <c r="B15" s="70" t="s">
        <v>447</v>
      </c>
      <c r="C15" s="70" t="s">
        <v>350</v>
      </c>
      <c r="D15" s="209"/>
      <c r="E15" s="216"/>
      <c r="F15" s="59">
        <f>'A-N Users'!C10</f>
        <v>0</v>
      </c>
      <c r="G15" s="59">
        <f>'A-N Users'!D10</f>
        <v>0</v>
      </c>
      <c r="H15" s="59">
        <f>'A-N Users'!E10</f>
        <v>42708.548291968182</v>
      </c>
      <c r="I15" s="59">
        <f>'A-N Users'!F10</f>
        <v>42409.2134587041</v>
      </c>
      <c r="J15" s="59">
        <f>'A-N Users'!G10</f>
        <v>42109.878625440018</v>
      </c>
      <c r="K15" s="59">
        <f>'A-N Users'!H10</f>
        <v>41810.543792175937</v>
      </c>
      <c r="L15" s="59">
        <f>'A-N Users'!I10</f>
        <v>41511.208958911848</v>
      </c>
      <c r="M15" s="59">
        <f>'A-N Users'!J10</f>
        <v>41211.874125647766</v>
      </c>
      <c r="N15" s="59">
        <f>'A-N Users'!K10</f>
        <v>41819.683663227261</v>
      </c>
      <c r="O15" s="59">
        <f>'A-N Users'!L10</f>
        <v>42427.493200806741</v>
      </c>
      <c r="P15" s="59">
        <f>'A-N Users'!M10</f>
        <v>43035.302738386235</v>
      </c>
      <c r="Q15" s="59">
        <f>'A-N Users'!N10</f>
        <v>43643.11227596573</v>
      </c>
      <c r="R15" s="59">
        <f>'A-N Users'!O10</f>
        <v>44250.92181354521</v>
      </c>
      <c r="S15" s="59">
        <f>'A-N Users'!P10</f>
        <v>44858.731351124698</v>
      </c>
      <c r="T15" s="59">
        <f>'A-N Users'!Q10</f>
        <v>45466.540888704185</v>
      </c>
      <c r="U15" s="59">
        <f>'A-N Users'!R10</f>
        <v>46074.350426283687</v>
      </c>
      <c r="V15" s="59">
        <f>'A-N Users'!S10</f>
        <v>46682.159963863174</v>
      </c>
      <c r="W15" s="59">
        <f>'A-N Users'!T10</f>
        <v>47289.969501442669</v>
      </c>
      <c r="X15" s="59">
        <f>'A-N Users'!U10</f>
        <v>47987.556705125928</v>
      </c>
      <c r="Y15" s="59">
        <f>'A-N Users'!V10</f>
        <v>48685.143908809208</v>
      </c>
      <c r="Z15" s="59">
        <f>'A-N Users'!W10</f>
        <v>49382.731112492474</v>
      </c>
      <c r="AA15" s="59">
        <f>'A-N Users'!X10</f>
        <v>50080.318316175755</v>
      </c>
      <c r="AB15" s="59">
        <f>'A-N Users'!Y10</f>
        <v>50777.905519859021</v>
      </c>
      <c r="AC15" s="264">
        <f>'A-N Users'!Z10</f>
        <v>51475.492723542295</v>
      </c>
      <c r="AD15" s="339">
        <f t="shared" si="0"/>
        <v>995698.68136220204</v>
      </c>
      <c r="AG15" s="367"/>
    </row>
    <row r="16" spans="1:33" s="53" customFormat="1" ht="12">
      <c r="A16" s="58"/>
      <c r="B16" s="70" t="s">
        <v>446</v>
      </c>
      <c r="C16" s="54" t="s">
        <v>417</v>
      </c>
      <c r="D16" s="209"/>
      <c r="E16" s="216"/>
      <c r="F16" s="59">
        <f>'A-N Users'!C11</f>
        <v>0</v>
      </c>
      <c r="G16" s="59">
        <f>'A-N Users'!D11</f>
        <v>0</v>
      </c>
      <c r="H16" s="59">
        <f>'A-N Users'!E11</f>
        <v>1708.3419316787274</v>
      </c>
      <c r="I16" s="59">
        <f>'A-N Users'!F11</f>
        <v>1696.3685383481641</v>
      </c>
      <c r="J16" s="59">
        <f>'A-N Users'!G11</f>
        <v>1684.3951450176007</v>
      </c>
      <c r="K16" s="59">
        <f>'A-N Users'!H11</f>
        <v>1672.4217516870376</v>
      </c>
      <c r="L16" s="59">
        <f>'A-N Users'!I11</f>
        <v>1660.448358356474</v>
      </c>
      <c r="M16" s="59">
        <f>'A-N Users'!J11</f>
        <v>1648.4749650259107</v>
      </c>
      <c r="N16" s="59">
        <f>'A-N Users'!K11</f>
        <v>1672.7873465290904</v>
      </c>
      <c r="O16" s="59">
        <f>'A-N Users'!L11</f>
        <v>1697.0997280322697</v>
      </c>
      <c r="P16" s="59">
        <f>'A-N Users'!M11</f>
        <v>1721.4121095354494</v>
      </c>
      <c r="Q16" s="59">
        <f>'A-N Users'!N11</f>
        <v>1745.7244910386291</v>
      </c>
      <c r="R16" s="59">
        <f>'A-N Users'!O11</f>
        <v>1770.0368725418084</v>
      </c>
      <c r="S16" s="59">
        <f>'A-N Users'!P11</f>
        <v>1794.3492540449879</v>
      </c>
      <c r="T16" s="59">
        <f>'A-N Users'!Q11</f>
        <v>1818.6616355481674</v>
      </c>
      <c r="U16" s="59">
        <f>'A-N Users'!R11</f>
        <v>1842.9740170513476</v>
      </c>
      <c r="V16" s="59">
        <f>'A-N Users'!S11</f>
        <v>1867.2863985545271</v>
      </c>
      <c r="W16" s="59">
        <f>'A-N Users'!T11</f>
        <v>1891.5987800577068</v>
      </c>
      <c r="X16" s="59">
        <f>'A-N Users'!U11</f>
        <v>1919.5022682050371</v>
      </c>
      <c r="Y16" s="59">
        <f>'A-N Users'!V11</f>
        <v>1947.4057563523684</v>
      </c>
      <c r="Z16" s="59">
        <f>'A-N Users'!W11</f>
        <v>1975.3092444996989</v>
      </c>
      <c r="AA16" s="59">
        <f>'A-N Users'!X11</f>
        <v>2003.2127326470302</v>
      </c>
      <c r="AB16" s="59">
        <f>'A-N Users'!Y11</f>
        <v>2031.116220794361</v>
      </c>
      <c r="AC16" s="264">
        <f>'A-N Users'!Z11</f>
        <v>2059.019708941692</v>
      </c>
      <c r="AD16" s="339">
        <f t="shared" si="0"/>
        <v>39827.947254488085</v>
      </c>
      <c r="AG16" s="367"/>
    </row>
    <row r="17" spans="1:33" s="53" customFormat="1" ht="12">
      <c r="A17" s="58"/>
      <c r="B17" s="70"/>
      <c r="C17" s="78" t="s">
        <v>411</v>
      </c>
      <c r="D17" s="209"/>
      <c r="E17" s="216"/>
      <c r="F17" s="59">
        <f>'A-N Users'!C12</f>
        <v>0</v>
      </c>
      <c r="G17" s="59">
        <f>'A-N Users'!D12</f>
        <v>0</v>
      </c>
      <c r="H17" s="59">
        <f>'A-N Users'!E12</f>
        <v>1708.3419316787274</v>
      </c>
      <c r="I17" s="59">
        <f>'A-N Users'!F12</f>
        <v>1696.3685383481641</v>
      </c>
      <c r="J17" s="59">
        <f>'A-N Users'!G12</f>
        <v>1684.3951450176007</v>
      </c>
      <c r="K17" s="59">
        <f>'A-N Users'!H12</f>
        <v>1672.4217516870376</v>
      </c>
      <c r="L17" s="59">
        <f>'A-N Users'!I12</f>
        <v>1660.448358356474</v>
      </c>
      <c r="M17" s="59">
        <f>'A-N Users'!J12</f>
        <v>1648.4749650259107</v>
      </c>
      <c r="N17" s="59">
        <f>'A-N Users'!K12</f>
        <v>1672.7873465290904</v>
      </c>
      <c r="O17" s="59">
        <f>'A-N Users'!L12</f>
        <v>1697.0997280322697</v>
      </c>
      <c r="P17" s="59">
        <f>'A-N Users'!M12</f>
        <v>1721.4121095354494</v>
      </c>
      <c r="Q17" s="59">
        <f>'A-N Users'!N12</f>
        <v>1745.7244910386291</v>
      </c>
      <c r="R17" s="59">
        <f>'A-N Users'!O12</f>
        <v>1770.0368725418084</v>
      </c>
      <c r="S17" s="59">
        <f>'A-N Users'!P12</f>
        <v>1794.3492540449879</v>
      </c>
      <c r="T17" s="59">
        <f>'A-N Users'!Q12</f>
        <v>1818.6616355481674</v>
      </c>
      <c r="U17" s="59">
        <f>'A-N Users'!R12</f>
        <v>1842.9740170513476</v>
      </c>
      <c r="V17" s="59">
        <f>'A-N Users'!S12</f>
        <v>1867.2863985545271</v>
      </c>
      <c r="W17" s="59">
        <f>'A-N Users'!T12</f>
        <v>1891.5987800577068</v>
      </c>
      <c r="X17" s="59">
        <f>'A-N Users'!U12</f>
        <v>1919.5022682050371</v>
      </c>
      <c r="Y17" s="59">
        <f>'A-N Users'!V12</f>
        <v>1947.4057563523684</v>
      </c>
      <c r="Z17" s="59">
        <f>'A-N Users'!W12</f>
        <v>1975.3092444996989</v>
      </c>
      <c r="AA17" s="59">
        <f>'A-N Users'!X12</f>
        <v>2003.2127326470302</v>
      </c>
      <c r="AB17" s="59">
        <f>'A-N Users'!Y12</f>
        <v>2031.116220794361</v>
      </c>
      <c r="AC17" s="264">
        <f>'A-N Users'!Z12</f>
        <v>2059.019708941692</v>
      </c>
      <c r="AD17" s="339">
        <f t="shared" si="0"/>
        <v>39827.947254488085</v>
      </c>
      <c r="AG17" s="70"/>
    </row>
    <row r="18" spans="1:33" s="53" customFormat="1" ht="12">
      <c r="A18" s="58"/>
      <c r="B18" s="70"/>
      <c r="C18" s="48"/>
      <c r="D18" s="209"/>
      <c r="E18" s="216"/>
      <c r="AC18" s="263"/>
      <c r="AD18" s="339"/>
      <c r="AG18" s="368"/>
    </row>
    <row r="19" spans="1:33" s="53" customFormat="1" ht="12">
      <c r="A19" s="58"/>
      <c r="B19" s="5" t="s">
        <v>397</v>
      </c>
      <c r="D19" s="209"/>
      <c r="E19" s="216"/>
      <c r="AC19" s="263"/>
      <c r="AD19" s="339"/>
      <c r="AG19" s="288"/>
    </row>
    <row r="20" spans="1:33" s="53" customFormat="1" ht="12">
      <c r="A20" s="58"/>
      <c r="B20" s="70" t="s">
        <v>447</v>
      </c>
      <c r="C20" s="47" t="s">
        <v>95</v>
      </c>
      <c r="D20" s="209"/>
      <c r="E20" s="216"/>
      <c r="F20" s="53">
        <f>'A-N Users'!C15</f>
        <v>0</v>
      </c>
      <c r="G20" s="103">
        <f>'A-N Users'!D15</f>
        <v>18250</v>
      </c>
      <c r="H20" s="103">
        <f>'A-N Users'!E15</f>
        <v>18432.5</v>
      </c>
      <c r="I20" s="103">
        <f>'A-N Users'!F15</f>
        <v>18616.825000000001</v>
      </c>
      <c r="J20" s="103">
        <f>'A-N Users'!G15</f>
        <v>18802.993250000003</v>
      </c>
      <c r="K20" s="103">
        <f>'A-N Users'!H15</f>
        <v>18991.023182500001</v>
      </c>
      <c r="L20" s="103">
        <f>'A-N Users'!I15</f>
        <v>19180.933414324998</v>
      </c>
      <c r="M20" s="103">
        <f>'A-N Users'!J15</f>
        <v>19372.742748468252</v>
      </c>
      <c r="N20" s="103">
        <f>'A-N Users'!K15</f>
        <v>19566.470175952938</v>
      </c>
      <c r="O20" s="103">
        <f>'A-N Users'!L15</f>
        <v>19762.134877712466</v>
      </c>
      <c r="P20" s="103">
        <f>'A-N Users'!M15</f>
        <v>19959.75622648959</v>
      </c>
      <c r="Q20" s="103">
        <f>'A-N Users'!N15</f>
        <v>20159.353788754484</v>
      </c>
      <c r="R20" s="103">
        <f>'A-N Users'!O15</f>
        <v>20360.947326642028</v>
      </c>
      <c r="S20" s="103">
        <f>'A-N Users'!P15</f>
        <v>20564.556799908452</v>
      </c>
      <c r="T20" s="103">
        <f>'A-N Users'!Q15</f>
        <v>20770.202367907536</v>
      </c>
      <c r="U20" s="103">
        <f>'A-N Users'!R15</f>
        <v>20977.90439158661</v>
      </c>
      <c r="V20" s="103">
        <f>'A-N Users'!S15</f>
        <v>21187.683435502477</v>
      </c>
      <c r="W20" s="103">
        <f>'A-N Users'!T15</f>
        <v>21399.560269857502</v>
      </c>
      <c r="X20" s="103">
        <f>'A-N Users'!U15</f>
        <v>21613.555872556077</v>
      </c>
      <c r="Y20" s="103">
        <f>'A-N Users'!V15</f>
        <v>21829.691431281637</v>
      </c>
      <c r="Z20" s="103">
        <f>'A-N Users'!W15</f>
        <v>22047.988345594455</v>
      </c>
      <c r="AA20" s="103">
        <f>'A-N Users'!X15</f>
        <v>22268.468229050399</v>
      </c>
      <c r="AB20" s="103">
        <f>'A-N Users'!Y15</f>
        <v>22491.152911340905</v>
      </c>
      <c r="AC20" s="267">
        <f>'A-N Users'!Z15</f>
        <v>22716.064440454316</v>
      </c>
      <c r="AD20" s="339">
        <f t="shared" si="0"/>
        <v>469322.50848588505</v>
      </c>
      <c r="AG20" s="288"/>
    </row>
    <row r="21" spans="1:33" s="53" customFormat="1" ht="12">
      <c r="A21" s="58"/>
      <c r="B21" s="70"/>
      <c r="C21" s="78" t="s">
        <v>493</v>
      </c>
      <c r="D21" s="209"/>
      <c r="E21" s="216"/>
      <c r="F21" s="53">
        <f>'A-N Users'!C16</f>
        <v>0</v>
      </c>
      <c r="G21" s="103">
        <f>'A-N Users'!D16</f>
        <v>27375</v>
      </c>
      <c r="H21" s="103">
        <f>'A-N Users'!E16</f>
        <v>27648.75</v>
      </c>
      <c r="I21" s="103">
        <f>'A-N Users'!F16</f>
        <v>27925.237499999999</v>
      </c>
      <c r="J21" s="103">
        <f>'A-N Users'!G16</f>
        <v>28204.489875000003</v>
      </c>
      <c r="K21" s="103">
        <f>'A-N Users'!H16</f>
        <v>28486.534773749998</v>
      </c>
      <c r="L21" s="103">
        <f>'A-N Users'!I16</f>
        <v>28771.400121487499</v>
      </c>
      <c r="M21" s="103">
        <f>'A-N Users'!J16</f>
        <v>29059.11412270238</v>
      </c>
      <c r="N21" s="103">
        <f>'A-N Users'!K16</f>
        <v>29349.705263929402</v>
      </c>
      <c r="O21" s="103">
        <f>'A-N Users'!L16</f>
        <v>29643.202316568691</v>
      </c>
      <c r="P21" s="103">
        <f>'A-N Users'!M16</f>
        <v>29939.634339734381</v>
      </c>
      <c r="Q21" s="103">
        <f>'A-N Users'!N16</f>
        <v>30239.030683131725</v>
      </c>
      <c r="R21" s="103">
        <f>'A-N Users'!O16</f>
        <v>30541.42098996304</v>
      </c>
      <c r="S21" s="103">
        <f>'A-N Users'!P16</f>
        <v>30846.835199862675</v>
      </c>
      <c r="T21" s="103">
        <f>'A-N Users'!Q16</f>
        <v>31155.303551861296</v>
      </c>
      <c r="U21" s="103">
        <f>'A-N Users'!R16</f>
        <v>31466.856587379913</v>
      </c>
      <c r="V21" s="103">
        <f>'A-N Users'!S16</f>
        <v>31781.525153253715</v>
      </c>
      <c r="W21" s="103">
        <f>'A-N Users'!T16</f>
        <v>32099.34040478625</v>
      </c>
      <c r="X21" s="103">
        <f>'A-N Users'!U16</f>
        <v>32420.333808834112</v>
      </c>
      <c r="Y21" s="103">
        <f>'A-N Users'!V16</f>
        <v>32744.537146922448</v>
      </c>
      <c r="Z21" s="103">
        <f>'A-N Users'!W16</f>
        <v>33071.982518391676</v>
      </c>
      <c r="AA21" s="103">
        <f>'A-N Users'!X16</f>
        <v>33402.702343575598</v>
      </c>
      <c r="AB21" s="103">
        <f>'A-N Users'!Y16</f>
        <v>33736.729367011358</v>
      </c>
      <c r="AC21" s="267">
        <f>'A-N Users'!Z16</f>
        <v>34074.096660681469</v>
      </c>
      <c r="AD21" s="339">
        <f t="shared" si="0"/>
        <v>703983.76272882754</v>
      </c>
      <c r="AG21" s="288"/>
    </row>
    <row r="22" spans="1:33" s="53" customFormat="1" ht="12">
      <c r="A22" s="58"/>
      <c r="B22" s="70"/>
      <c r="C22" s="47" t="s">
        <v>148</v>
      </c>
      <c r="D22" s="209"/>
      <c r="E22" s="216"/>
      <c r="F22" s="53">
        <f>'A-N Users'!C17</f>
        <v>0</v>
      </c>
      <c r="G22" s="103">
        <f>'A-N Users'!D17</f>
        <v>27375</v>
      </c>
      <c r="H22" s="103">
        <f>'A-N Users'!E17</f>
        <v>27648.75</v>
      </c>
      <c r="I22" s="103">
        <f>'A-N Users'!F17</f>
        <v>27925.237499999999</v>
      </c>
      <c r="J22" s="103">
        <f>'A-N Users'!G17</f>
        <v>28204.489875000003</v>
      </c>
      <c r="K22" s="103">
        <f>'A-N Users'!H17</f>
        <v>28486.534773749998</v>
      </c>
      <c r="L22" s="103">
        <f>'A-N Users'!I17</f>
        <v>28771.400121487499</v>
      </c>
      <c r="M22" s="103">
        <f>'A-N Users'!J17</f>
        <v>29059.11412270238</v>
      </c>
      <c r="N22" s="103">
        <f>'A-N Users'!K17</f>
        <v>29349.705263929402</v>
      </c>
      <c r="O22" s="103">
        <f>'A-N Users'!L17</f>
        <v>29643.202316568691</v>
      </c>
      <c r="P22" s="103">
        <f>'A-N Users'!M17</f>
        <v>29939.634339734381</v>
      </c>
      <c r="Q22" s="103">
        <f>'A-N Users'!N17</f>
        <v>30239.030683131725</v>
      </c>
      <c r="R22" s="103">
        <f>'A-N Users'!O17</f>
        <v>30541.42098996304</v>
      </c>
      <c r="S22" s="103">
        <f>'A-N Users'!P17</f>
        <v>30846.835199862675</v>
      </c>
      <c r="T22" s="103">
        <f>'A-N Users'!Q17</f>
        <v>31155.303551861296</v>
      </c>
      <c r="U22" s="103">
        <f>'A-N Users'!R17</f>
        <v>31466.856587379913</v>
      </c>
      <c r="V22" s="103">
        <f>'A-N Users'!S17</f>
        <v>31781.525153253715</v>
      </c>
      <c r="W22" s="103">
        <f>'A-N Users'!T17</f>
        <v>32099.34040478625</v>
      </c>
      <c r="X22" s="103">
        <f>'A-N Users'!U17</f>
        <v>32420.333808834112</v>
      </c>
      <c r="Y22" s="103">
        <f>'A-N Users'!V17</f>
        <v>32744.537146922448</v>
      </c>
      <c r="Z22" s="103">
        <f>'A-N Users'!W17</f>
        <v>33071.982518391676</v>
      </c>
      <c r="AA22" s="103">
        <f>'A-N Users'!X17</f>
        <v>33402.702343575598</v>
      </c>
      <c r="AB22" s="103">
        <f>'A-N Users'!Y17</f>
        <v>33736.729367011358</v>
      </c>
      <c r="AC22" s="267">
        <f>'A-N Users'!Z17</f>
        <v>34074.096660681469</v>
      </c>
      <c r="AD22" s="339">
        <f t="shared" si="0"/>
        <v>703983.76272882754</v>
      </c>
      <c r="AG22" s="288"/>
    </row>
    <row r="23" spans="1:33" s="53" customFormat="1" ht="12">
      <c r="A23" s="58"/>
      <c r="B23" s="70"/>
      <c r="C23" s="78" t="s">
        <v>421</v>
      </c>
      <c r="D23" s="209"/>
      <c r="E23" s="216"/>
      <c r="F23" s="53">
        <f>'A-N Users'!C18</f>
        <v>0</v>
      </c>
      <c r="G23" s="103">
        <f>'A-N Users'!D18</f>
        <v>18250</v>
      </c>
      <c r="H23" s="103">
        <f>'A-N Users'!E18</f>
        <v>18432.5</v>
      </c>
      <c r="I23" s="103">
        <f>'A-N Users'!F18</f>
        <v>18616.825000000001</v>
      </c>
      <c r="J23" s="103">
        <f>'A-N Users'!G18</f>
        <v>18802.993250000003</v>
      </c>
      <c r="K23" s="103">
        <f>'A-N Users'!H18</f>
        <v>18991.023182500001</v>
      </c>
      <c r="L23" s="103">
        <f>'A-N Users'!I18</f>
        <v>19180.933414324998</v>
      </c>
      <c r="M23" s="103">
        <f>'A-N Users'!J18</f>
        <v>19372.742748468252</v>
      </c>
      <c r="N23" s="103">
        <f>'A-N Users'!K18</f>
        <v>19566.470175952938</v>
      </c>
      <c r="O23" s="103">
        <f>'A-N Users'!L18</f>
        <v>19762.134877712466</v>
      </c>
      <c r="P23" s="103">
        <f>'A-N Users'!M18</f>
        <v>19959.75622648959</v>
      </c>
      <c r="Q23" s="103">
        <f>'A-N Users'!N18</f>
        <v>20159.353788754484</v>
      </c>
      <c r="R23" s="103">
        <f>'A-N Users'!O18</f>
        <v>20360.947326642028</v>
      </c>
      <c r="S23" s="103">
        <f>'A-N Users'!P18</f>
        <v>20564.556799908452</v>
      </c>
      <c r="T23" s="103">
        <f>'A-N Users'!Q18</f>
        <v>20770.202367907536</v>
      </c>
      <c r="U23" s="103">
        <f>'A-N Users'!R18</f>
        <v>20977.90439158661</v>
      </c>
      <c r="V23" s="103">
        <f>'A-N Users'!S18</f>
        <v>21187.683435502477</v>
      </c>
      <c r="W23" s="103">
        <f>'A-N Users'!T18</f>
        <v>21399.560269857502</v>
      </c>
      <c r="X23" s="103">
        <f>'A-N Users'!U18</f>
        <v>21613.555872556077</v>
      </c>
      <c r="Y23" s="103">
        <f>'A-N Users'!V18</f>
        <v>21829.691431281637</v>
      </c>
      <c r="Z23" s="103">
        <f>'A-N Users'!W18</f>
        <v>22047.988345594455</v>
      </c>
      <c r="AA23" s="103">
        <f>'A-N Users'!X18</f>
        <v>22268.468229050399</v>
      </c>
      <c r="AB23" s="103">
        <f>'A-N Users'!Y18</f>
        <v>22491.152911340905</v>
      </c>
      <c r="AC23" s="267">
        <f>'A-N Users'!Z18</f>
        <v>22716.064440454316</v>
      </c>
      <c r="AD23" s="339">
        <f t="shared" si="0"/>
        <v>469322.50848588505</v>
      </c>
      <c r="AG23" s="367"/>
    </row>
    <row r="24" spans="1:33" s="53" customFormat="1" ht="12">
      <c r="A24" s="58"/>
      <c r="B24" s="70"/>
      <c r="C24" s="47" t="s">
        <v>152</v>
      </c>
      <c r="D24" s="209"/>
      <c r="E24" s="216"/>
      <c r="F24" s="53">
        <f>'A-N Users'!C19</f>
        <v>0</v>
      </c>
      <c r="G24" s="103">
        <f>'A-N Users'!D19</f>
        <v>18250</v>
      </c>
      <c r="H24" s="103">
        <f>'A-N Users'!E19</f>
        <v>18432.5</v>
      </c>
      <c r="I24" s="103">
        <f>'A-N Users'!F19</f>
        <v>18616.825000000001</v>
      </c>
      <c r="J24" s="103">
        <f>'A-N Users'!G19</f>
        <v>18802.993250000003</v>
      </c>
      <c r="K24" s="103">
        <f>'A-N Users'!H19</f>
        <v>18991.023182500001</v>
      </c>
      <c r="L24" s="103">
        <f>'A-N Users'!I19</f>
        <v>19180.933414324998</v>
      </c>
      <c r="M24" s="103">
        <f>'A-N Users'!J19</f>
        <v>19372.742748468252</v>
      </c>
      <c r="N24" s="103">
        <f>'A-N Users'!K19</f>
        <v>19566.470175952938</v>
      </c>
      <c r="O24" s="103">
        <f>'A-N Users'!L19</f>
        <v>19762.134877712466</v>
      </c>
      <c r="P24" s="103">
        <f>'A-N Users'!M19</f>
        <v>19959.75622648959</v>
      </c>
      <c r="Q24" s="103">
        <f>'A-N Users'!N19</f>
        <v>20159.353788754484</v>
      </c>
      <c r="R24" s="103">
        <f>'A-N Users'!O19</f>
        <v>20360.947326642028</v>
      </c>
      <c r="S24" s="103">
        <f>'A-N Users'!P19</f>
        <v>20564.556799908452</v>
      </c>
      <c r="T24" s="103">
        <f>'A-N Users'!Q19</f>
        <v>20770.202367907536</v>
      </c>
      <c r="U24" s="103">
        <f>'A-N Users'!R19</f>
        <v>20977.90439158661</v>
      </c>
      <c r="V24" s="103">
        <f>'A-N Users'!S19</f>
        <v>21187.683435502477</v>
      </c>
      <c r="W24" s="103">
        <f>'A-N Users'!T19</f>
        <v>21399.560269857502</v>
      </c>
      <c r="X24" s="103">
        <f>'A-N Users'!U19</f>
        <v>21613.555872556077</v>
      </c>
      <c r="Y24" s="103">
        <f>'A-N Users'!V19</f>
        <v>21829.691431281637</v>
      </c>
      <c r="Z24" s="103">
        <f>'A-N Users'!W19</f>
        <v>22047.988345594455</v>
      </c>
      <c r="AA24" s="103">
        <f>'A-N Users'!X19</f>
        <v>22268.468229050399</v>
      </c>
      <c r="AB24" s="103">
        <f>'A-N Users'!Y19</f>
        <v>22491.152911340905</v>
      </c>
      <c r="AC24" s="267">
        <f>'A-N Users'!Z19</f>
        <v>22716.064440454316</v>
      </c>
      <c r="AD24" s="339">
        <f t="shared" si="0"/>
        <v>469322.50848588505</v>
      </c>
      <c r="AG24" s="369"/>
    </row>
    <row r="25" spans="1:33" s="53" customFormat="1" ht="12">
      <c r="A25" s="58"/>
      <c r="B25" s="70" t="s">
        <v>446</v>
      </c>
      <c r="C25" s="78" t="s">
        <v>426</v>
      </c>
      <c r="D25" s="209"/>
      <c r="E25" s="216"/>
      <c r="F25" s="53">
        <f>'A-N Users'!C20</f>
        <v>0</v>
      </c>
      <c r="G25" s="103">
        <f>'A-N Users'!D20</f>
        <v>36500</v>
      </c>
      <c r="H25" s="103">
        <f>'A-N Users'!E20</f>
        <v>36865</v>
      </c>
      <c r="I25" s="103">
        <f>'A-N Users'!F20</f>
        <v>37233.65</v>
      </c>
      <c r="J25" s="103">
        <f>'A-N Users'!G20</f>
        <v>37605.986500000006</v>
      </c>
      <c r="K25" s="103">
        <f>'A-N Users'!H20</f>
        <v>37982.046365000002</v>
      </c>
      <c r="L25" s="103">
        <f>'A-N Users'!I20</f>
        <v>38361.866828649996</v>
      </c>
      <c r="M25" s="103">
        <f>'A-N Users'!J20</f>
        <v>38745.485496936504</v>
      </c>
      <c r="N25" s="103">
        <f>'A-N Users'!K20</f>
        <v>39132.940351905876</v>
      </c>
      <c r="O25" s="103">
        <f>'A-N Users'!L20</f>
        <v>39524.269755424932</v>
      </c>
      <c r="P25" s="103">
        <f>'A-N Users'!M20</f>
        <v>39919.512452979179</v>
      </c>
      <c r="Q25" s="103">
        <f>'A-N Users'!N20</f>
        <v>40318.707577508969</v>
      </c>
      <c r="R25" s="103">
        <f>'A-N Users'!O20</f>
        <v>40721.894653284056</v>
      </c>
      <c r="S25" s="103">
        <f>'A-N Users'!P20</f>
        <v>41129.113599816905</v>
      </c>
      <c r="T25" s="103">
        <f>'A-N Users'!Q20</f>
        <v>41540.404735815071</v>
      </c>
      <c r="U25" s="103">
        <f>'A-N Users'!R20</f>
        <v>41955.808783173219</v>
      </c>
      <c r="V25" s="103">
        <f>'A-N Users'!S20</f>
        <v>42375.366871004953</v>
      </c>
      <c r="W25" s="103">
        <f>'A-N Users'!T20</f>
        <v>42799.120539715004</v>
      </c>
      <c r="X25" s="103">
        <f>'A-N Users'!U20</f>
        <v>43227.111745112154</v>
      </c>
      <c r="Y25" s="103">
        <f>'A-N Users'!V20</f>
        <v>43659.382862563274</v>
      </c>
      <c r="Z25" s="103">
        <f>'A-N Users'!W20</f>
        <v>44095.976691188909</v>
      </c>
      <c r="AA25" s="103">
        <f>'A-N Users'!X20</f>
        <v>44536.936458100798</v>
      </c>
      <c r="AB25" s="103">
        <f>'A-N Users'!Y20</f>
        <v>44982.30582268181</v>
      </c>
      <c r="AC25" s="267">
        <f>'A-N Users'!Z20</f>
        <v>45432.128880908633</v>
      </c>
      <c r="AD25" s="339">
        <f t="shared" si="0"/>
        <v>938645.01697177009</v>
      </c>
      <c r="AG25" s="369"/>
    </row>
    <row r="26" spans="1:33" s="53" customFormat="1" ht="12">
      <c r="A26" s="58"/>
      <c r="B26" s="70"/>
      <c r="C26" s="78" t="s">
        <v>457</v>
      </c>
      <c r="D26" s="209"/>
      <c r="E26" s="216"/>
      <c r="F26" s="53">
        <f>'A-N Users'!C21</f>
        <v>0</v>
      </c>
      <c r="G26" s="103">
        <f>'A-N Users'!D21</f>
        <v>36500</v>
      </c>
      <c r="H26" s="103">
        <f>'A-N Users'!E21</f>
        <v>36865</v>
      </c>
      <c r="I26" s="103">
        <f>'A-N Users'!F21</f>
        <v>37233.65</v>
      </c>
      <c r="J26" s="103">
        <f>'A-N Users'!G21</f>
        <v>37605.986500000006</v>
      </c>
      <c r="K26" s="103">
        <f>'A-N Users'!H21</f>
        <v>37982.046365000002</v>
      </c>
      <c r="L26" s="103">
        <f>'A-N Users'!I21</f>
        <v>38361.866828649996</v>
      </c>
      <c r="M26" s="103">
        <f>'A-N Users'!J21</f>
        <v>38745.485496936504</v>
      </c>
      <c r="N26" s="103">
        <f>'A-N Users'!K21</f>
        <v>39132.940351905876</v>
      </c>
      <c r="O26" s="103">
        <f>'A-N Users'!L21</f>
        <v>39524.269755424932</v>
      </c>
      <c r="P26" s="103">
        <f>'A-N Users'!M21</f>
        <v>39919.512452979179</v>
      </c>
      <c r="Q26" s="103">
        <f>'A-N Users'!N21</f>
        <v>40318.707577508969</v>
      </c>
      <c r="R26" s="103">
        <f>'A-N Users'!O21</f>
        <v>40721.894653284056</v>
      </c>
      <c r="S26" s="103">
        <f>'A-N Users'!P21</f>
        <v>41129.113599816905</v>
      </c>
      <c r="T26" s="103">
        <f>'A-N Users'!Q21</f>
        <v>41540.404735815071</v>
      </c>
      <c r="U26" s="103">
        <f>'A-N Users'!R21</f>
        <v>41955.808783173219</v>
      </c>
      <c r="V26" s="103">
        <f>'A-N Users'!S21</f>
        <v>42375.366871004953</v>
      </c>
      <c r="W26" s="103">
        <f>'A-N Users'!T21</f>
        <v>42799.120539715004</v>
      </c>
      <c r="X26" s="103">
        <f>'A-N Users'!U21</f>
        <v>43227.111745112154</v>
      </c>
      <c r="Y26" s="103">
        <f>'A-N Users'!V21</f>
        <v>43659.382862563274</v>
      </c>
      <c r="Z26" s="103">
        <f>'A-N Users'!W21</f>
        <v>44095.976691188909</v>
      </c>
      <c r="AA26" s="103">
        <f>'A-N Users'!X21</f>
        <v>44536.936458100798</v>
      </c>
      <c r="AB26" s="103">
        <f>'A-N Users'!Y21</f>
        <v>44982.30582268181</v>
      </c>
      <c r="AC26" s="267">
        <f>'A-N Users'!Z21</f>
        <v>45432.128880908633</v>
      </c>
      <c r="AD26" s="339">
        <f t="shared" si="0"/>
        <v>938645.01697177009</v>
      </c>
      <c r="AG26" s="369"/>
    </row>
    <row r="27" spans="1:33" s="53" customFormat="1" ht="12">
      <c r="A27" s="58"/>
      <c r="B27" s="70"/>
      <c r="C27" s="78"/>
      <c r="D27" s="209"/>
      <c r="E27" s="216"/>
      <c r="AC27" s="263"/>
      <c r="AD27" s="338"/>
      <c r="AG27" s="369"/>
    </row>
    <row r="28" spans="1:33" s="53" customFormat="1" ht="12">
      <c r="A28" s="58"/>
      <c r="B28" s="70"/>
      <c r="C28" s="58" t="s">
        <v>420</v>
      </c>
      <c r="D28" s="209"/>
      <c r="E28" s="216"/>
      <c r="AC28" s="263"/>
      <c r="AD28" s="338"/>
      <c r="AG28" s="288"/>
    </row>
    <row r="29" spans="1:33" s="53" customFormat="1" ht="12">
      <c r="A29" s="58"/>
      <c r="B29" s="70"/>
      <c r="C29" s="78" t="s">
        <v>488</v>
      </c>
      <c r="D29" s="209"/>
      <c r="E29" s="216"/>
      <c r="F29" s="279">
        <f>'A-N Users'!C31</f>
        <v>0</v>
      </c>
      <c r="G29" s="279">
        <f>'A-N Users'!D31</f>
        <v>73000</v>
      </c>
      <c r="H29" s="279">
        <f>'A-N Users'!E31</f>
        <v>150299.91235814191</v>
      </c>
      <c r="I29" s="279">
        <f>'A-N Users'!F31</f>
        <v>150500.5506624064</v>
      </c>
      <c r="J29" s="279">
        <f>'A-N Users'!G31</f>
        <v>150708.56196667088</v>
      </c>
      <c r="K29" s="279">
        <f>'A-N Users'!H31</f>
        <v>150924.02000093539</v>
      </c>
      <c r="L29" s="279">
        <f>'A-N Users'!I31</f>
        <v>151146.99923249983</v>
      </c>
      <c r="M29" s="279">
        <f>'A-N Users'!J31</f>
        <v>151377.57487333735</v>
      </c>
      <c r="N29" s="279">
        <f>'A-N Users'!K31</f>
        <v>153242.19436935321</v>
      </c>
      <c r="O29" s="279">
        <f>'A-N Users'!L31</f>
        <v>155114.56296246839</v>
      </c>
      <c r="P29" s="279">
        <f>'A-N Users'!M31</f>
        <v>156994.75814365401</v>
      </c>
      <c r="Q29" s="279">
        <f>'A-N Users'!N31</f>
        <v>158882.85817879069</v>
      </c>
      <c r="R29" s="279">
        <f>'A-N Users'!O31</f>
        <v>160778.94211641795</v>
      </c>
      <c r="S29" s="279">
        <f>'A-N Users'!P31</f>
        <v>162683.08979556075</v>
      </c>
      <c r="T29" s="279">
        <f>'A-N Users'!Q31</f>
        <v>164595.3818536342</v>
      </c>
      <c r="U29" s="279">
        <f>'A-N Users'!R31</f>
        <v>166515.8997344276</v>
      </c>
      <c r="V29" s="279">
        <f>'A-N Users'!S31</f>
        <v>168444.7256961682</v>
      </c>
      <c r="W29" s="279">
        <f>'A-N Users'!T31</f>
        <v>170381.94281966539</v>
      </c>
      <c r="X29" s="279">
        <f>'A-N Users'!U31</f>
        <v>172488.59267724419</v>
      </c>
      <c r="Y29" s="279">
        <f>'A-N Users'!V31</f>
        <v>174603.80235893096</v>
      </c>
      <c r="Z29" s="279">
        <f>'A-N Users'!W31</f>
        <v>176727.65746296674</v>
      </c>
      <c r="AA29" s="279">
        <f>'A-N Users'!X31</f>
        <v>178860.24444357509</v>
      </c>
      <c r="AB29" s="279">
        <f>'A-N Users'!Y31</f>
        <v>181001.65061952162</v>
      </c>
      <c r="AC29" s="384">
        <f>'A-N Users'!Z31</f>
        <v>183151.96418275978</v>
      </c>
      <c r="AD29" s="341">
        <f t="shared" si="0"/>
        <v>3662425.8865091302</v>
      </c>
    </row>
    <row r="30" spans="1:33" s="53" customFormat="1" ht="12">
      <c r="A30" s="58"/>
      <c r="B30" s="70"/>
      <c r="C30" s="78" t="s">
        <v>489</v>
      </c>
      <c r="D30" s="209"/>
      <c r="E30" s="216"/>
      <c r="F30" s="279">
        <f>'A-N Users'!C32</f>
        <v>0</v>
      </c>
      <c r="G30" s="279">
        <f>'A-N Users'!D32</f>
        <v>-27375</v>
      </c>
      <c r="H30" s="279">
        <f>'A-N Users'!E32</f>
        <v>-27648.75</v>
      </c>
      <c r="I30" s="279">
        <f>'A-N Users'!F32</f>
        <v>-27925.237499999999</v>
      </c>
      <c r="J30" s="279">
        <f>'A-N Users'!G32</f>
        <v>-28204.489875000003</v>
      </c>
      <c r="K30" s="279">
        <f>'A-N Users'!H32</f>
        <v>-28486.534773749998</v>
      </c>
      <c r="L30" s="279">
        <f>'A-N Users'!I32</f>
        <v>-28771.400121487499</v>
      </c>
      <c r="M30" s="279">
        <f>'A-N Users'!J32</f>
        <v>-29059.11412270238</v>
      </c>
      <c r="N30" s="279">
        <f>'A-N Users'!K32</f>
        <v>-29349.705263929402</v>
      </c>
      <c r="O30" s="279">
        <f>'A-N Users'!L32</f>
        <v>-29643.202316568691</v>
      </c>
      <c r="P30" s="279">
        <f>'A-N Users'!M32</f>
        <v>-29939.634339734381</v>
      </c>
      <c r="Q30" s="279">
        <f>'A-N Users'!N32</f>
        <v>-30239.030683131725</v>
      </c>
      <c r="R30" s="279">
        <f>'A-N Users'!O32</f>
        <v>-30541.42098996304</v>
      </c>
      <c r="S30" s="279">
        <f>'A-N Users'!P32</f>
        <v>-30846.835199862675</v>
      </c>
      <c r="T30" s="279">
        <f>'A-N Users'!Q32</f>
        <v>-31155.303551861296</v>
      </c>
      <c r="U30" s="279">
        <f>'A-N Users'!R32</f>
        <v>-31466.856587379913</v>
      </c>
      <c r="V30" s="279">
        <f>'A-N Users'!S32</f>
        <v>-31781.525153253715</v>
      </c>
      <c r="W30" s="279">
        <f>'A-N Users'!T32</f>
        <v>-32099.34040478625</v>
      </c>
      <c r="X30" s="279">
        <f>'A-N Users'!U32</f>
        <v>-32420.333808834112</v>
      </c>
      <c r="Y30" s="279">
        <f>'A-N Users'!V32</f>
        <v>-32744.537146922448</v>
      </c>
      <c r="Z30" s="279">
        <f>'A-N Users'!W32</f>
        <v>-33071.982518391676</v>
      </c>
      <c r="AA30" s="279">
        <f>'A-N Users'!X32</f>
        <v>-33402.702343575598</v>
      </c>
      <c r="AB30" s="279">
        <f>'A-N Users'!Y32</f>
        <v>-33736.729367011358</v>
      </c>
      <c r="AC30" s="384">
        <f>'A-N Users'!Z32</f>
        <v>-34074.096660681469</v>
      </c>
      <c r="AD30" s="341">
        <f t="shared" si="0"/>
        <v>-703983.76272882754</v>
      </c>
    </row>
    <row r="31" spans="1:33" s="53" customFormat="1" ht="12">
      <c r="A31" s="58"/>
      <c r="B31" s="70"/>
      <c r="C31" s="78" t="s">
        <v>490</v>
      </c>
      <c r="D31" s="209"/>
      <c r="E31" s="216"/>
      <c r="F31" s="279">
        <f>'A-N Users'!C33</f>
        <v>0</v>
      </c>
      <c r="G31" s="279">
        <f>'A-N Users'!D33</f>
        <v>-54750</v>
      </c>
      <c r="H31" s="279">
        <f>'A-N Users'!E33</f>
        <v>-93582.456179070956</v>
      </c>
      <c r="I31" s="279">
        <f>'A-N Users'!F33</f>
        <v>-93867.100331203197</v>
      </c>
      <c r="J31" s="279">
        <f>'A-N Users'!G33</f>
        <v>-94157.274233335454</v>
      </c>
      <c r="K31" s="279">
        <f>'A-N Users'!H33</f>
        <v>-94453.033182967687</v>
      </c>
      <c r="L31" s="279">
        <f>'A-N Users'!I33</f>
        <v>-94754.433030574903</v>
      </c>
      <c r="M31" s="279">
        <f>'A-N Users'!J33</f>
        <v>-95061.530185136915</v>
      </c>
      <c r="N31" s="279">
        <f>'A-N Users'!K33</f>
        <v>-96187.567360629531</v>
      </c>
      <c r="O31" s="279">
        <f>'A-N Users'!L33</f>
        <v>-97319.416358946677</v>
      </c>
      <c r="P31" s="279">
        <f>'A-N Users'!M33</f>
        <v>-98457.1352983166</v>
      </c>
      <c r="Q31" s="279">
        <f>'A-N Users'!N33</f>
        <v>-99600.782878149825</v>
      </c>
      <c r="R31" s="279">
        <f>'A-N Users'!O33</f>
        <v>-100750.41838485101</v>
      </c>
      <c r="S31" s="279">
        <f>'A-N Users'!P33</f>
        <v>-101906.10169768883</v>
      </c>
      <c r="T31" s="279">
        <f>'A-N Users'!Q33</f>
        <v>-103067.89329472464</v>
      </c>
      <c r="U31" s="279">
        <f>'A-N Users'!R33</f>
        <v>-104235.85425880039</v>
      </c>
      <c r="V31" s="279">
        <f>'A-N Users'!S33</f>
        <v>-105410.04628358656</v>
      </c>
      <c r="W31" s="279">
        <f>'A-N Users'!T33</f>
        <v>-106590.53167969019</v>
      </c>
      <c r="X31" s="279">
        <f>'A-N Users'!U33</f>
        <v>-107857.85221117818</v>
      </c>
      <c r="Y31" s="279">
        <f>'A-N Users'!V33</f>
        <v>-109131.59261074712</v>
      </c>
      <c r="Z31" s="279">
        <f>'A-N Users'!W33</f>
        <v>-110411.81707707784</v>
      </c>
      <c r="AA31" s="279">
        <f>'A-N Users'!X33</f>
        <v>-111698.59045083793</v>
      </c>
      <c r="AB31" s="279">
        <f>'A-N Users'!Y33</f>
        <v>-112991.97822110172</v>
      </c>
      <c r="AC31" s="384">
        <f>'A-N Users'!Z33</f>
        <v>-114292.0465318342</v>
      </c>
      <c r="AD31" s="341">
        <f t="shared" si="0"/>
        <v>-2300535.4517404507</v>
      </c>
    </row>
    <row r="32" spans="1:33" s="53" customFormat="1" ht="12">
      <c r="A32" s="58"/>
      <c r="B32" s="70"/>
      <c r="C32" s="78" t="s">
        <v>491</v>
      </c>
      <c r="D32" s="209"/>
      <c r="E32" s="216"/>
      <c r="F32" s="279">
        <f>'A-N Users'!C34</f>
        <v>0</v>
      </c>
      <c r="G32" s="279">
        <f>'A-N Users'!D34</f>
        <v>-269917.5</v>
      </c>
      <c r="H32" s="279">
        <f>'A-N Users'!E34</f>
        <v>-521468.89016396122</v>
      </c>
      <c r="I32" s="279">
        <f>'A-N Users'!F34</f>
        <v>-522450.9064028209</v>
      </c>
      <c r="J32" s="279">
        <f>'A-N Users'!G34</f>
        <v>-523460.18430918048</v>
      </c>
      <c r="K32" s="279">
        <f>'A-N Users'!H34</f>
        <v>-524496.99649971502</v>
      </c>
      <c r="L32" s="279">
        <f>'A-N Users'!I34</f>
        <v>-525561.61831726623</v>
      </c>
      <c r="M32" s="279">
        <f>'A-N Users'!J34</f>
        <v>-526654.32785810449</v>
      </c>
      <c r="N32" s="279">
        <f>'A-N Users'!K34</f>
        <v>-533061.11331535364</v>
      </c>
      <c r="O32" s="279">
        <f>'A-N Users'!L34</f>
        <v>-539496.55105912767</v>
      </c>
      <c r="P32" s="279">
        <f>'A-N Users'!M34</f>
        <v>-545960.92761229188</v>
      </c>
      <c r="Q32" s="279">
        <f>'A-N Users'!N34</f>
        <v>-552454.53236294026</v>
      </c>
      <c r="R32" s="279">
        <f>'A-N Users'!O34</f>
        <v>-558977.6575930476</v>
      </c>
      <c r="S32" s="279">
        <f>'A-N Users'!P34</f>
        <v>-565530.59850740863</v>
      </c>
      <c r="T32" s="279">
        <f>'A-N Users'!Q34</f>
        <v>-572113.65326286561</v>
      </c>
      <c r="U32" s="279">
        <f>'A-N Users'!R34</f>
        <v>-578727.12299782969</v>
      </c>
      <c r="V32" s="279">
        <f>'A-N Users'!S34</f>
        <v>-585371.31186209607</v>
      </c>
      <c r="W32" s="279">
        <f>'A-N Users'!T34</f>
        <v>-592046.5270469574</v>
      </c>
      <c r="X32" s="279">
        <f>'A-N Users'!U34</f>
        <v>-599276.19121291908</v>
      </c>
      <c r="Y32" s="279">
        <f>'A-N Users'!V34</f>
        <v>-606537.50532851974</v>
      </c>
      <c r="Z32" s="279">
        <f>'A-N Users'!W34</f>
        <v>-613830.78589325596</v>
      </c>
      <c r="AA32" s="279">
        <f>'A-N Users'!X34</f>
        <v>-621156.35257161921</v>
      </c>
      <c r="AB32" s="279">
        <f>'A-N Users'!Y34</f>
        <v>-628514.52822474553</v>
      </c>
      <c r="AC32" s="384">
        <f>'A-N Users'!Z34</f>
        <v>-635905.63894238265</v>
      </c>
      <c r="AD32" s="341">
        <f t="shared" si="0"/>
        <v>-12742971.421344409</v>
      </c>
    </row>
    <row r="33" spans="1:30" s="53" customFormat="1" ht="12">
      <c r="A33" s="58"/>
      <c r="B33" s="70"/>
      <c r="C33" s="54" t="s">
        <v>492</v>
      </c>
      <c r="D33" s="209"/>
      <c r="E33" s="216"/>
      <c r="F33" s="279">
        <f>'A-N Users'!C35</f>
        <v>0</v>
      </c>
      <c r="G33" s="279">
        <f>'A-N Users'!D35</f>
        <v>47565.643456646481</v>
      </c>
      <c r="H33" s="279">
        <f>'A-N Users'!E35</f>
        <v>89823.723757720087</v>
      </c>
      <c r="I33" s="279">
        <f>'A-N Users'!F35</f>
        <v>88009.407512649967</v>
      </c>
      <c r="J33" s="279">
        <f>'A-N Users'!G35</f>
        <v>86277.836051896535</v>
      </c>
      <c r="K33" s="279">
        <f>'A-N Users'!H35</f>
        <v>84623.813190772678</v>
      </c>
      <c r="L33" s="279">
        <f>'A-N Users'!I35</f>
        <v>83042.572865680748</v>
      </c>
      <c r="M33" s="279">
        <f>'A-N Users'!J35</f>
        <v>81529.735578623018</v>
      </c>
      <c r="N33" s="279">
        <f>'A-N Users'!K35</f>
        <v>80883.289506434434</v>
      </c>
      <c r="O33" s="279">
        <f>'A-N Users'!L35</f>
        <v>81816.413151155051</v>
      </c>
      <c r="P33" s="279">
        <f>'A-N Users'!M35</f>
        <v>82752.935395551278</v>
      </c>
      <c r="Q33" s="279">
        <f>'A-N Users'!N35</f>
        <v>83692.894686399479</v>
      </c>
      <c r="R33" s="279">
        <f>'A-N Users'!O35</f>
        <v>84636.329827338064</v>
      </c>
      <c r="S33" s="279">
        <f>'A-N Users'!P35</f>
        <v>85583.279982304084</v>
      </c>
      <c r="T33" s="279">
        <f>'A-N Users'!Q35</f>
        <v>86533.78467900239</v>
      </c>
      <c r="U33" s="279">
        <f>'A-N Users'!R35</f>
        <v>87487.883812408618</v>
      </c>
      <c r="V33" s="279">
        <f>'A-N Users'!S35</f>
        <v>88445.617648304964</v>
      </c>
      <c r="W33" s="279">
        <f>'A-N Users'!T35</f>
        <v>89407.026826850226</v>
      </c>
      <c r="X33" s="279">
        <f>'A-N Users'!U35</f>
        <v>90451.107773589712</v>
      </c>
      <c r="Y33" s="279">
        <f>'A-N Users'!V35</f>
        <v>91498.863300170313</v>
      </c>
      <c r="Z33" s="279">
        <f>'A-N Users'!W35</f>
        <v>92550.335323022577</v>
      </c>
      <c r="AA33" s="279">
        <f>'A-N Users'!X35</f>
        <v>93605.566147301826</v>
      </c>
      <c r="AB33" s="279">
        <f>'A-N Users'!Y35</f>
        <v>94664.598470632933</v>
      </c>
      <c r="AC33" s="384">
        <f>'A-N Users'!Z35</f>
        <v>95727.47538689099</v>
      </c>
      <c r="AD33" s="342">
        <f t="shared" si="0"/>
        <v>1970610.1343313463</v>
      </c>
    </row>
    <row r="34" spans="1:30" s="53" customFormat="1" ht="12">
      <c r="A34" s="58"/>
      <c r="B34" s="70"/>
      <c r="C34" s="66"/>
      <c r="D34" s="209"/>
      <c r="E34" s="216"/>
      <c r="H34" s="59"/>
      <c r="I34" s="59"/>
      <c r="J34" s="59"/>
      <c r="K34" s="59"/>
      <c r="L34" s="59"/>
      <c r="M34" s="59"/>
      <c r="N34" s="59"/>
      <c r="O34" s="59"/>
      <c r="P34" s="59"/>
      <c r="Q34" s="59"/>
      <c r="R34" s="59"/>
      <c r="S34" s="59"/>
      <c r="T34" s="59"/>
      <c r="U34" s="59"/>
      <c r="V34" s="59"/>
      <c r="W34" s="59"/>
      <c r="X34" s="59"/>
      <c r="Y34" s="59"/>
      <c r="AC34" s="263"/>
      <c r="AD34" s="338"/>
    </row>
    <row r="35" spans="1:30" s="53" customFormat="1" ht="12">
      <c r="A35" s="58" t="s">
        <v>230</v>
      </c>
      <c r="B35" s="58"/>
      <c r="D35" s="209"/>
      <c r="E35" s="216"/>
      <c r="H35" s="59"/>
      <c r="I35" s="59"/>
      <c r="J35" s="59"/>
      <c r="K35" s="59"/>
      <c r="L35" s="59"/>
      <c r="M35" s="59"/>
      <c r="N35" s="59"/>
      <c r="O35" s="59"/>
      <c r="P35" s="59"/>
      <c r="Q35" s="59"/>
      <c r="R35" s="59"/>
      <c r="S35" s="59"/>
      <c r="T35" s="59"/>
      <c r="U35" s="59"/>
      <c r="V35" s="59"/>
      <c r="W35" s="59"/>
      <c r="X35" s="59"/>
      <c r="Y35" s="59"/>
      <c r="AC35" s="263"/>
      <c r="AD35" s="338"/>
    </row>
    <row r="36" spans="1:30" s="53" customFormat="1" ht="12">
      <c r="A36" s="58"/>
      <c r="B36" s="5" t="s">
        <v>353</v>
      </c>
      <c r="D36" s="209"/>
      <c r="E36" s="216"/>
      <c r="H36" s="59"/>
      <c r="I36" s="59"/>
      <c r="J36" s="59"/>
      <c r="K36" s="59"/>
      <c r="L36" s="59"/>
      <c r="M36" s="59"/>
      <c r="N36" s="59"/>
      <c r="O36" s="59"/>
      <c r="P36" s="59"/>
      <c r="Q36" s="59"/>
      <c r="R36" s="59"/>
      <c r="S36" s="59"/>
      <c r="T36" s="59"/>
      <c r="U36" s="59"/>
      <c r="V36" s="59"/>
      <c r="W36" s="59"/>
      <c r="X36" s="59"/>
      <c r="Y36" s="59"/>
      <c r="AC36" s="263"/>
      <c r="AD36" s="338"/>
    </row>
    <row r="37" spans="1:30" s="53" customFormat="1" ht="12">
      <c r="A37" s="58"/>
      <c r="B37" s="70" t="s">
        <v>354</v>
      </c>
      <c r="C37" s="70" t="s">
        <v>350</v>
      </c>
      <c r="D37" s="209"/>
      <c r="E37" s="216"/>
      <c r="F37" s="103">
        <f>'A-N Users'!C25</f>
        <v>9915539.7000799999</v>
      </c>
      <c r="G37" s="103">
        <f>'A-N Users'!D25</f>
        <v>9915539.7000799999</v>
      </c>
      <c r="H37" s="103">
        <f>'A-N Users'!E25</f>
        <v>0</v>
      </c>
      <c r="I37" s="103">
        <f>'A-N Users'!F25</f>
        <v>0</v>
      </c>
      <c r="J37" s="103">
        <f>'A-N Users'!G25</f>
        <v>0</v>
      </c>
      <c r="K37" s="103">
        <f>'A-N Users'!H25</f>
        <v>0</v>
      </c>
      <c r="L37" s="103">
        <f>'A-N Users'!I25</f>
        <v>0</v>
      </c>
      <c r="M37" s="103">
        <f>'A-N Users'!J25</f>
        <v>0</v>
      </c>
      <c r="N37" s="103">
        <f>'A-N Users'!K25</f>
        <v>0</v>
      </c>
      <c r="O37" s="103">
        <f>'A-N Users'!L25</f>
        <v>0</v>
      </c>
      <c r="P37" s="103">
        <f>'A-N Users'!M25</f>
        <v>0</v>
      </c>
      <c r="Q37" s="103">
        <f>'A-N Users'!N25</f>
        <v>0</v>
      </c>
      <c r="R37" s="103">
        <f>'A-N Users'!O25</f>
        <v>0</v>
      </c>
      <c r="S37" s="103">
        <f>'A-N Users'!P25</f>
        <v>0</v>
      </c>
      <c r="T37" s="103">
        <f>'A-N Users'!Q25</f>
        <v>0</v>
      </c>
      <c r="U37" s="103">
        <f>'A-N Users'!R25</f>
        <v>0</v>
      </c>
      <c r="V37" s="103">
        <f>'A-N Users'!S25</f>
        <v>0</v>
      </c>
      <c r="W37" s="103">
        <f>'A-N Users'!T25</f>
        <v>0</v>
      </c>
      <c r="X37" s="103">
        <f>'A-N Users'!U25</f>
        <v>0</v>
      </c>
      <c r="Y37" s="103">
        <f>'A-N Users'!V25</f>
        <v>0</v>
      </c>
      <c r="Z37" s="103">
        <f>'A-N Users'!W25</f>
        <v>0</v>
      </c>
      <c r="AA37" s="103">
        <f>'A-N Users'!X25</f>
        <v>0</v>
      </c>
      <c r="AB37" s="103">
        <f>'A-N Users'!Y25</f>
        <v>0</v>
      </c>
      <c r="AC37" s="267">
        <f>'A-N Users'!Z33</f>
        <v>-114292.0465318342</v>
      </c>
      <c r="AD37" s="343">
        <f t="shared" si="0"/>
        <v>19716787.353628166</v>
      </c>
    </row>
    <row r="38" spans="1:30" s="53" customFormat="1" ht="12">
      <c r="A38" s="58"/>
      <c r="B38" s="70" t="s">
        <v>355</v>
      </c>
      <c r="C38" s="70" t="s">
        <v>513</v>
      </c>
      <c r="D38" s="209"/>
      <c r="E38" s="216"/>
      <c r="F38" s="279">
        <f>'A-N Users'!C26</f>
        <v>0</v>
      </c>
      <c r="G38" s="279">
        <f>'A-N Users'!D26</f>
        <v>-27375</v>
      </c>
      <c r="H38" s="279">
        <f>'A-N Users'!E26</f>
        <v>-46791.228089535478</v>
      </c>
      <c r="I38" s="279">
        <f>'A-N Users'!F26</f>
        <v>-46933.550165601599</v>
      </c>
      <c r="J38" s="279">
        <f>'A-N Users'!G26</f>
        <v>-47078.637116667727</v>
      </c>
      <c r="K38" s="279">
        <f>'A-N Users'!H26</f>
        <v>-47226.516591483844</v>
      </c>
      <c r="L38" s="279">
        <f>'A-N Users'!I26</f>
        <v>-47377.216515287451</v>
      </c>
      <c r="M38" s="279">
        <f>'A-N Users'!J26</f>
        <v>-47530.765092568457</v>
      </c>
      <c r="N38" s="279">
        <f>'A-N Users'!K26</f>
        <v>-48093.783680314766</v>
      </c>
      <c r="O38" s="279">
        <f>'A-N Users'!L26</f>
        <v>-48659.708179473339</v>
      </c>
      <c r="P38" s="279">
        <f>'A-N Users'!M26</f>
        <v>-49228.5676491583</v>
      </c>
      <c r="Q38" s="279">
        <f>'A-N Users'!N26</f>
        <v>-49800.391439074912</v>
      </c>
      <c r="R38" s="279">
        <f>'A-N Users'!O26</f>
        <v>-50375.209192425507</v>
      </c>
      <c r="S38" s="279">
        <f>'A-N Users'!P26</f>
        <v>-50953.050848844417</v>
      </c>
      <c r="T38" s="279">
        <f>'A-N Users'!Q26</f>
        <v>-51533.946647362318</v>
      </c>
      <c r="U38" s="279">
        <f>'A-N Users'!R26</f>
        <v>-52117.927129400196</v>
      </c>
      <c r="V38" s="279">
        <f>'A-N Users'!S26</f>
        <v>-52705.023141793281</v>
      </c>
      <c r="W38" s="279">
        <f>'A-N Users'!T26</f>
        <v>-53295.265839845095</v>
      </c>
      <c r="X38" s="279">
        <f>'A-N Users'!U26</f>
        <v>-53928.926105589089</v>
      </c>
      <c r="Y38" s="279">
        <f>'A-N Users'!V26</f>
        <v>-54565.796305373558</v>
      </c>
      <c r="Z38" s="279">
        <f>'A-N Users'!W26</f>
        <v>-55205.908538538919</v>
      </c>
      <c r="AA38" s="279">
        <f>'A-N Users'!X26</f>
        <v>-55849.295225418966</v>
      </c>
      <c r="AB38" s="279">
        <f>'A-N Users'!Y26</f>
        <v>-56495.989110550858</v>
      </c>
      <c r="AC38" s="384">
        <f>'A-N Users'!Z34</f>
        <v>-635905.63894238265</v>
      </c>
      <c r="AD38" s="341">
        <f t="shared" si="0"/>
        <v>-1729027.341546691</v>
      </c>
    </row>
    <row r="39" spans="1:30" s="53" customFormat="1" ht="12">
      <c r="A39" s="58"/>
      <c r="B39" s="70"/>
      <c r="C39" s="70" t="s">
        <v>652</v>
      </c>
      <c r="D39" s="209"/>
      <c r="E39" s="216"/>
      <c r="F39" s="103">
        <f>'A-N Users'!C27</f>
        <v>0</v>
      </c>
      <c r="G39" s="103">
        <f>'A-N Users'!D27</f>
        <v>0</v>
      </c>
      <c r="H39" s="103">
        <f>'A-N Users'!E27</f>
        <v>9898014.5720304642</v>
      </c>
      <c r="I39" s="103">
        <f>'A-N Users'!F27</f>
        <v>9927138.3499943987</v>
      </c>
      <c r="J39" s="103">
        <f>'A-N Users'!G27</f>
        <v>9956259.3630833328</v>
      </c>
      <c r="K39" s="103">
        <f>'A-N Users'!H27</f>
        <v>9985377.5836485177</v>
      </c>
      <c r="L39" s="103">
        <f>'A-N Users'!I27</f>
        <v>10014492.983764714</v>
      </c>
      <c r="M39" s="103">
        <f>'A-N Users'!J27</f>
        <v>10043605.535227431</v>
      </c>
      <c r="N39" s="103">
        <f>'A-N Users'!K27</f>
        <v>10072308.616679687</v>
      </c>
      <c r="O39" s="103">
        <f>'A-N Users'!L27</f>
        <v>10101008.792220525</v>
      </c>
      <c r="P39" s="103">
        <f>'A-N Users'!M27</f>
        <v>10129706.032790842</v>
      </c>
      <c r="Q39" s="103">
        <f>'A-N Users'!N27</f>
        <v>10158400.309040925</v>
      </c>
      <c r="R39" s="103">
        <f>'A-N Users'!O27</f>
        <v>10187091.591327576</v>
      </c>
      <c r="S39" s="103">
        <f>'A-N Users'!P27</f>
        <v>10215779.849711157</v>
      </c>
      <c r="T39" s="103">
        <f>'A-N Users'!Q27</f>
        <v>10244465.053952636</v>
      </c>
      <c r="U39" s="103">
        <f>'A-N Users'!R27</f>
        <v>10273147.1735106</v>
      </c>
      <c r="V39" s="103">
        <f>'A-N Users'!S27</f>
        <v>10301826.177538207</v>
      </c>
      <c r="W39" s="103">
        <f>'A-N Users'!T27</f>
        <v>10330502.034880154</v>
      </c>
      <c r="X39" s="103">
        <f>'A-N Users'!U27</f>
        <v>10359134.474654412</v>
      </c>
      <c r="Y39" s="103">
        <f>'A-N Users'!V27</f>
        <v>9953805.1231946275</v>
      </c>
      <c r="Z39" s="103">
        <f>'A-N Users'!W27</f>
        <v>9525090.9304614607</v>
      </c>
      <c r="AA39" s="103">
        <f>'A-N Users'!X27</f>
        <v>9096373.4632745814</v>
      </c>
      <c r="AB39" s="103">
        <f>'A-N Users'!Y27</f>
        <v>8667652.6888894476</v>
      </c>
      <c r="AC39" s="267">
        <f>'A-N Users'!Z35</f>
        <v>95727.47538689099</v>
      </c>
      <c r="AD39" s="343">
        <f t="shared" si="0"/>
        <v>209536908.1752626</v>
      </c>
    </row>
    <row r="40" spans="1:30" s="53" customFormat="1" ht="12">
      <c r="A40" s="58"/>
      <c r="B40" s="58"/>
      <c r="D40" s="209"/>
      <c r="E40" s="216"/>
      <c r="AC40" s="263"/>
      <c r="AD40" s="338"/>
    </row>
    <row r="41" spans="1:30" s="53" customFormat="1" ht="12">
      <c r="A41" s="58"/>
      <c r="B41" s="58"/>
      <c r="D41" s="209"/>
      <c r="E41" s="216"/>
      <c r="H41" s="59"/>
      <c r="I41" s="59"/>
      <c r="J41" s="59"/>
      <c r="K41" s="59"/>
      <c r="L41" s="59"/>
      <c r="M41" s="59"/>
      <c r="N41" s="59"/>
      <c r="O41" s="59"/>
      <c r="P41" s="59"/>
      <c r="Q41" s="59"/>
      <c r="R41" s="59"/>
      <c r="S41" s="59"/>
      <c r="T41" s="59"/>
      <c r="U41" s="59"/>
      <c r="V41" s="59"/>
      <c r="W41" s="59"/>
      <c r="X41" s="59"/>
      <c r="Y41" s="59"/>
      <c r="AC41" s="263"/>
      <c r="AD41" s="338"/>
    </row>
    <row r="42" spans="1:30" s="53" customFormat="1" ht="12">
      <c r="A42" s="58" t="s">
        <v>348</v>
      </c>
      <c r="B42" s="58"/>
      <c r="D42" s="209"/>
      <c r="E42" s="216"/>
      <c r="H42" s="59"/>
      <c r="I42" s="59"/>
      <c r="J42" s="59"/>
      <c r="K42" s="59"/>
      <c r="L42" s="59"/>
      <c r="M42" s="59"/>
      <c r="N42" s="59"/>
      <c r="O42" s="59"/>
      <c r="P42" s="59"/>
      <c r="Q42" s="59"/>
      <c r="R42" s="59"/>
      <c r="S42" s="59"/>
      <c r="T42" s="59"/>
      <c r="U42" s="59"/>
      <c r="V42" s="59"/>
      <c r="W42" s="59"/>
      <c r="X42" s="59"/>
      <c r="Y42" s="59"/>
      <c r="AC42" s="263"/>
      <c r="AD42" s="338"/>
    </row>
    <row r="43" spans="1:30" s="53" customFormat="1" ht="12">
      <c r="A43" s="58"/>
      <c r="B43" s="58"/>
      <c r="C43" s="197" t="s">
        <v>349</v>
      </c>
      <c r="D43" s="209"/>
      <c r="E43" s="216"/>
      <c r="H43" s="59"/>
      <c r="I43" s="59"/>
      <c r="J43" s="59"/>
      <c r="K43" s="59"/>
      <c r="L43" s="59"/>
      <c r="M43" s="59"/>
      <c r="N43" s="59"/>
      <c r="O43" s="59"/>
      <c r="P43" s="59"/>
      <c r="Q43" s="59"/>
      <c r="R43" s="59"/>
      <c r="S43" s="59"/>
      <c r="T43" s="59"/>
      <c r="U43" s="59"/>
      <c r="V43" s="59"/>
      <c r="W43" s="59"/>
      <c r="X43" s="59"/>
      <c r="Y43" s="59"/>
      <c r="AC43" s="263"/>
      <c r="AD43" s="338"/>
    </row>
    <row r="44" spans="1:30" s="53" customFormat="1" ht="12">
      <c r="A44" s="58"/>
      <c r="B44" s="58"/>
      <c r="D44" s="209"/>
      <c r="E44" s="216"/>
      <c r="H44" s="59"/>
      <c r="I44" s="59"/>
      <c r="J44" s="59"/>
      <c r="K44" s="59"/>
      <c r="L44" s="59"/>
      <c r="M44" s="59"/>
      <c r="N44" s="59"/>
      <c r="O44" s="59"/>
      <c r="P44" s="59"/>
      <c r="Q44" s="59"/>
      <c r="R44" s="59"/>
      <c r="S44" s="59"/>
      <c r="T44" s="59"/>
      <c r="U44" s="59"/>
      <c r="V44" s="59"/>
      <c r="W44" s="59"/>
      <c r="X44" s="59"/>
      <c r="Y44" s="59"/>
      <c r="AC44" s="263"/>
      <c r="AD44" s="338"/>
    </row>
    <row r="45" spans="1:30" s="53" customFormat="1" ht="12">
      <c r="A45" s="58"/>
      <c r="B45" s="58"/>
      <c r="D45" s="209"/>
      <c r="E45" s="216"/>
      <c r="H45" s="59"/>
      <c r="I45" s="59"/>
      <c r="J45" s="59"/>
      <c r="K45" s="59"/>
      <c r="L45" s="59"/>
      <c r="M45" s="59"/>
      <c r="N45" s="59"/>
      <c r="O45" s="59"/>
      <c r="P45" s="59"/>
      <c r="Q45" s="59"/>
      <c r="R45" s="59"/>
      <c r="S45" s="59"/>
      <c r="T45" s="59"/>
      <c r="U45" s="59"/>
      <c r="V45" s="59"/>
      <c r="W45" s="59"/>
      <c r="X45" s="59"/>
      <c r="Y45" s="59"/>
      <c r="AC45" s="263"/>
      <c r="AD45" s="338"/>
    </row>
    <row r="46" spans="1:30" s="53" customFormat="1" ht="12">
      <c r="A46" s="58"/>
      <c r="B46" s="58"/>
      <c r="C46" s="45"/>
      <c r="D46" s="210"/>
      <c r="E46" s="216"/>
      <c r="F46" s="59"/>
      <c r="G46" s="59"/>
      <c r="H46" s="59"/>
      <c r="I46" s="59"/>
      <c r="J46" s="59"/>
      <c r="K46" s="59"/>
      <c r="L46" s="59"/>
      <c r="M46" s="59"/>
      <c r="N46" s="59"/>
      <c r="O46" s="59"/>
      <c r="P46" s="59"/>
      <c r="Q46" s="59"/>
      <c r="R46" s="59"/>
      <c r="S46" s="59"/>
      <c r="T46" s="59"/>
      <c r="U46" s="59"/>
      <c r="V46" s="59"/>
      <c r="W46" s="59"/>
      <c r="X46" s="59"/>
      <c r="Y46" s="59"/>
      <c r="AC46" s="263"/>
      <c r="AD46" s="338"/>
    </row>
    <row r="47" spans="1:30" s="53" customFormat="1" ht="12">
      <c r="A47" s="44" t="s">
        <v>346</v>
      </c>
      <c r="B47" s="44"/>
      <c r="C47" s="45"/>
      <c r="D47" s="210"/>
      <c r="E47" s="217"/>
      <c r="F47" s="45"/>
      <c r="G47" s="59"/>
      <c r="H47" s="59"/>
      <c r="I47" s="59"/>
      <c r="J47" s="59"/>
      <c r="K47" s="59"/>
      <c r="L47" s="59"/>
      <c r="M47" s="59"/>
      <c r="N47" s="59"/>
      <c r="O47" s="59"/>
      <c r="P47" s="59"/>
      <c r="Q47" s="59"/>
      <c r="R47" s="59"/>
      <c r="S47" s="59"/>
      <c r="T47" s="59"/>
      <c r="U47" s="59"/>
      <c r="V47" s="59"/>
      <c r="W47" s="59"/>
      <c r="X47" s="59"/>
      <c r="Y47" s="59"/>
      <c r="AC47" s="263"/>
      <c r="AD47" s="338"/>
    </row>
    <row r="48" spans="1:30" s="53" customFormat="1" ht="12">
      <c r="A48" s="44"/>
      <c r="B48" s="44"/>
      <c r="C48" s="45"/>
      <c r="D48" s="210"/>
      <c r="E48" s="217"/>
      <c r="F48" s="45"/>
      <c r="G48" s="59"/>
      <c r="H48" s="59"/>
      <c r="I48" s="59"/>
      <c r="J48" s="59"/>
      <c r="K48" s="59"/>
      <c r="L48" s="59"/>
      <c r="M48" s="59"/>
      <c r="N48" s="59"/>
      <c r="O48" s="59"/>
      <c r="P48" s="59"/>
      <c r="Q48" s="59"/>
      <c r="R48" s="59"/>
      <c r="S48" s="59"/>
      <c r="T48" s="59"/>
      <c r="U48" s="59"/>
      <c r="V48" s="59"/>
      <c r="W48" s="59"/>
      <c r="X48" s="59"/>
      <c r="Y48" s="59"/>
      <c r="AC48" s="263"/>
      <c r="AD48" s="338"/>
    </row>
    <row r="49" spans="1:30" s="53" customFormat="1" ht="12">
      <c r="A49" s="44"/>
      <c r="B49" s="5" t="s">
        <v>351</v>
      </c>
      <c r="C49" s="45"/>
      <c r="D49" s="210"/>
      <c r="E49" s="217"/>
      <c r="F49" s="45"/>
      <c r="G49" s="59"/>
      <c r="H49" s="59"/>
      <c r="I49" s="59"/>
      <c r="J49" s="59"/>
      <c r="K49" s="59"/>
      <c r="L49" s="59"/>
      <c r="M49" s="59"/>
      <c r="N49" s="59"/>
      <c r="O49" s="59"/>
      <c r="P49" s="59"/>
      <c r="Q49" s="59"/>
      <c r="R49" s="59"/>
      <c r="S49" s="59"/>
      <c r="T49" s="59"/>
      <c r="U49" s="59"/>
      <c r="V49" s="59"/>
      <c r="W49" s="59"/>
      <c r="X49" s="59"/>
      <c r="Y49" s="59"/>
      <c r="AC49" s="263"/>
      <c r="AD49" s="338"/>
    </row>
    <row r="50" spans="1:30" s="53" customFormat="1" ht="12">
      <c r="A50" s="44"/>
      <c r="B50" s="250" t="s">
        <v>447</v>
      </c>
      <c r="C50" s="70" t="s">
        <v>350</v>
      </c>
      <c r="D50" s="210"/>
      <c r="E50" s="217"/>
      <c r="F50" s="45"/>
      <c r="G50" s="59"/>
      <c r="H50" s="59"/>
      <c r="I50" s="59"/>
      <c r="J50" s="59"/>
      <c r="K50" s="59"/>
      <c r="L50" s="59"/>
      <c r="M50" s="59"/>
      <c r="N50" s="59"/>
      <c r="O50" s="59"/>
      <c r="P50" s="59"/>
      <c r="Q50" s="59"/>
      <c r="R50" s="59"/>
      <c r="S50" s="59"/>
      <c r="T50" s="59"/>
      <c r="U50" s="59"/>
      <c r="V50" s="59"/>
      <c r="W50" s="59"/>
      <c r="X50" s="59"/>
      <c r="Y50" s="59"/>
      <c r="AC50" s="263"/>
      <c r="AD50" s="338"/>
    </row>
    <row r="51" spans="1:30" s="53" customFormat="1" ht="12">
      <c r="A51" s="44"/>
      <c r="C51" s="63" t="s">
        <v>131</v>
      </c>
      <c r="D51" s="210"/>
      <c r="E51" s="217"/>
      <c r="F51" s="45"/>
      <c r="G51" s="59"/>
      <c r="H51" s="59"/>
      <c r="I51" s="59"/>
      <c r="J51" s="59"/>
      <c r="K51" s="59"/>
      <c r="L51" s="59"/>
      <c r="M51" s="59"/>
      <c r="N51" s="59"/>
      <c r="O51" s="59"/>
      <c r="P51" s="59"/>
      <c r="Q51" s="59"/>
      <c r="R51" s="59"/>
      <c r="S51" s="59"/>
      <c r="T51" s="59"/>
      <c r="U51" s="59"/>
      <c r="V51" s="59"/>
      <c r="W51" s="59"/>
      <c r="X51" s="59"/>
      <c r="Y51" s="59"/>
      <c r="AC51" s="263"/>
      <c r="AD51" s="338"/>
    </row>
    <row r="52" spans="1:30" s="53" customFormat="1" ht="12">
      <c r="A52" s="44"/>
      <c r="C52" s="226" t="s">
        <v>412</v>
      </c>
      <c r="D52" s="247">
        <f>5/3600</f>
        <v>1.3888888888888889E-3</v>
      </c>
      <c r="E52" s="217"/>
      <c r="F52" s="45"/>
      <c r="G52" s="59"/>
      <c r="H52" s="59"/>
      <c r="I52" s="59"/>
      <c r="J52" s="59"/>
      <c r="K52" s="59"/>
      <c r="L52" s="59"/>
      <c r="M52" s="59"/>
      <c r="N52" s="59"/>
      <c r="O52" s="59"/>
      <c r="P52" s="59"/>
      <c r="Q52" s="59"/>
      <c r="R52" s="59"/>
      <c r="S52" s="59"/>
      <c r="T52" s="59"/>
      <c r="U52" s="59"/>
      <c r="V52" s="59"/>
      <c r="W52" s="59"/>
      <c r="X52" s="59"/>
      <c r="Y52" s="59"/>
      <c r="AC52" s="263"/>
      <c r="AD52" s="338"/>
    </row>
    <row r="53" spans="1:30" s="53" customFormat="1" ht="12">
      <c r="A53" s="44"/>
      <c r="C53" s="224" t="s">
        <v>403</v>
      </c>
      <c r="D53" s="253">
        <v>26.21</v>
      </c>
      <c r="E53" s="217"/>
      <c r="F53" s="45"/>
      <c r="G53" s="59"/>
      <c r="H53" s="59"/>
      <c r="I53" s="59"/>
      <c r="J53" s="59"/>
      <c r="K53" s="59"/>
      <c r="L53" s="59"/>
      <c r="M53" s="59"/>
      <c r="N53" s="59"/>
      <c r="O53" s="59"/>
      <c r="P53" s="59"/>
      <c r="Q53" s="59"/>
      <c r="R53" s="59"/>
      <c r="S53" s="59"/>
      <c r="T53" s="59"/>
      <c r="U53" s="59"/>
      <c r="V53" s="59"/>
      <c r="W53" s="59"/>
      <c r="X53" s="59"/>
      <c r="Y53" s="59"/>
      <c r="AC53" s="263"/>
      <c r="AD53" s="338"/>
    </row>
    <row r="54" spans="1:30" s="53" customFormat="1" ht="12">
      <c r="A54" s="44"/>
      <c r="C54" s="62" t="s">
        <v>413</v>
      </c>
      <c r="D54" s="253"/>
      <c r="E54" s="217"/>
      <c r="F54" s="285">
        <v>0</v>
      </c>
      <c r="G54" s="285">
        <v>0</v>
      </c>
      <c r="H54" s="285">
        <v>0</v>
      </c>
      <c r="I54" s="316">
        <v>0</v>
      </c>
      <c r="J54" s="316">
        <f t="shared" ref="J54:AC54" si="1">$D$53*$D$52*J10</f>
        <v>131282.61134129314</v>
      </c>
      <c r="K54" s="316">
        <f t="shared" si="1"/>
        <v>130349.39899637373</v>
      </c>
      <c r="L54" s="316">
        <f t="shared" si="1"/>
        <v>129416.18665145428</v>
      </c>
      <c r="M54" s="316">
        <f t="shared" si="1"/>
        <v>128482.97430653486</v>
      </c>
      <c r="N54" s="316">
        <f t="shared" si="1"/>
        <v>130377.89364366571</v>
      </c>
      <c r="O54" s="316">
        <f t="shared" si="1"/>
        <v>132272.81298079656</v>
      </c>
      <c r="P54" s="316">
        <f t="shared" si="1"/>
        <v>134167.73231792738</v>
      </c>
      <c r="Q54" s="316">
        <f t="shared" si="1"/>
        <v>136062.65165505826</v>
      </c>
      <c r="R54" s="316">
        <f t="shared" si="1"/>
        <v>137957.57099218908</v>
      </c>
      <c r="S54" s="316">
        <f t="shared" si="1"/>
        <v>139852.49032931993</v>
      </c>
      <c r="T54" s="316">
        <f t="shared" si="1"/>
        <v>141747.40966645078</v>
      </c>
      <c r="U54" s="316">
        <f t="shared" si="1"/>
        <v>143642.32900358163</v>
      </c>
      <c r="V54" s="316">
        <f t="shared" si="1"/>
        <v>145537.24834071251</v>
      </c>
      <c r="W54" s="316">
        <f t="shared" si="1"/>
        <v>147432.16767784333</v>
      </c>
      <c r="X54" s="316">
        <f t="shared" si="1"/>
        <v>149606.97968697798</v>
      </c>
      <c r="Y54" s="316">
        <f t="shared" si="1"/>
        <v>151781.79169611269</v>
      </c>
      <c r="Z54" s="316">
        <f t="shared" si="1"/>
        <v>153956.60370524734</v>
      </c>
      <c r="AA54" s="316">
        <f t="shared" si="1"/>
        <v>156131.41571438202</v>
      </c>
      <c r="AB54" s="316">
        <f t="shared" si="1"/>
        <v>158306.2277235167</v>
      </c>
      <c r="AC54" s="317">
        <f t="shared" si="1"/>
        <v>160481.03973265141</v>
      </c>
      <c r="AD54" s="344">
        <f t="shared" si="0"/>
        <v>2838845.5361620886</v>
      </c>
    </row>
    <row r="55" spans="1:30" s="53" customFormat="1" ht="12">
      <c r="A55" s="44"/>
      <c r="B55" s="44"/>
      <c r="D55" s="253"/>
      <c r="E55" s="217"/>
      <c r="G55" s="59"/>
      <c r="H55" s="59"/>
      <c r="I55" s="59"/>
      <c r="J55" s="59"/>
      <c r="K55" s="59"/>
      <c r="L55" s="59"/>
      <c r="M55" s="59"/>
      <c r="N55" s="59"/>
      <c r="O55" s="59"/>
      <c r="P55" s="59"/>
      <c r="Q55" s="59"/>
      <c r="R55" s="59"/>
      <c r="S55" s="59"/>
      <c r="T55" s="59"/>
      <c r="U55" s="59"/>
      <c r="V55" s="59"/>
      <c r="W55" s="59"/>
      <c r="X55" s="59"/>
      <c r="Y55" s="59"/>
      <c r="AC55" s="263"/>
      <c r="AD55" s="338"/>
    </row>
    <row r="56" spans="1:30" s="53" customFormat="1" ht="12">
      <c r="A56" s="44"/>
      <c r="B56" s="250" t="s">
        <v>446</v>
      </c>
      <c r="C56" s="54" t="s">
        <v>409</v>
      </c>
      <c r="D56" s="253"/>
      <c r="E56" s="217"/>
      <c r="F56" s="45">
        <f>F11</f>
        <v>0</v>
      </c>
      <c r="G56" s="45">
        <f t="shared" ref="G56:AC56" si="2">G11</f>
        <v>0</v>
      </c>
      <c r="H56" s="102">
        <f t="shared" si="2"/>
        <v>36576.61424739223</v>
      </c>
      <c r="I56" s="102">
        <f t="shared" si="2"/>
        <v>36320.256792855042</v>
      </c>
      <c r="J56" s="102">
        <f t="shared" si="2"/>
        <v>36063.899338317846</v>
      </c>
      <c r="K56" s="102">
        <f t="shared" si="2"/>
        <v>35807.54188378065</v>
      </c>
      <c r="L56" s="102">
        <f t="shared" si="2"/>
        <v>35551.184429243447</v>
      </c>
      <c r="M56" s="102">
        <f t="shared" si="2"/>
        <v>35294.826974706259</v>
      </c>
      <c r="N56" s="102">
        <f t="shared" si="2"/>
        <v>35815.369486241631</v>
      </c>
      <c r="O56" s="102">
        <f t="shared" si="2"/>
        <v>36335.911997777002</v>
      </c>
      <c r="P56" s="102">
        <f t="shared" si="2"/>
        <v>36856.454509312374</v>
      </c>
      <c r="Q56" s="102">
        <f t="shared" si="2"/>
        <v>37376.997020847746</v>
      </c>
      <c r="R56" s="102">
        <f t="shared" si="2"/>
        <v>37897.539532383111</v>
      </c>
      <c r="S56" s="102">
        <f t="shared" si="2"/>
        <v>38418.082043918483</v>
      </c>
      <c r="T56" s="102">
        <f t="shared" si="2"/>
        <v>38938.624555453862</v>
      </c>
      <c r="U56" s="102">
        <f t="shared" si="2"/>
        <v>39459.167066989226</v>
      </c>
      <c r="V56" s="102">
        <f t="shared" si="2"/>
        <v>39979.709578524613</v>
      </c>
      <c r="W56" s="102">
        <f t="shared" si="2"/>
        <v>40500.252090059977</v>
      </c>
      <c r="X56" s="102">
        <f t="shared" si="2"/>
        <v>41097.682325304908</v>
      </c>
      <c r="Y56" s="102">
        <f t="shared" si="2"/>
        <v>41695.112560549838</v>
      </c>
      <c r="Z56" s="102">
        <f t="shared" si="2"/>
        <v>42292.542795794769</v>
      </c>
      <c r="AA56" s="102">
        <f t="shared" si="2"/>
        <v>42889.973031039706</v>
      </c>
      <c r="AB56" s="102">
        <f t="shared" si="2"/>
        <v>43487.403266284637</v>
      </c>
      <c r="AC56" s="267">
        <f t="shared" si="2"/>
        <v>44084.833501529574</v>
      </c>
      <c r="AD56" s="343">
        <f t="shared" si="0"/>
        <v>852739.97902830679</v>
      </c>
    </row>
    <row r="57" spans="1:30" s="53" customFormat="1" ht="12">
      <c r="A57" s="44"/>
      <c r="B57" s="70"/>
      <c r="C57" s="63" t="s">
        <v>131</v>
      </c>
      <c r="D57" s="253"/>
      <c r="E57" s="217"/>
      <c r="F57" s="45"/>
      <c r="G57" s="45"/>
      <c r="H57" s="45"/>
      <c r="I57" s="45"/>
      <c r="J57" s="45"/>
      <c r="K57" s="45"/>
      <c r="L57" s="45"/>
      <c r="M57" s="45"/>
      <c r="N57" s="45"/>
      <c r="O57" s="45"/>
      <c r="P57" s="45"/>
      <c r="Q57" s="45"/>
      <c r="R57" s="45"/>
      <c r="S57" s="45"/>
      <c r="T57" s="45"/>
      <c r="U57" s="45"/>
      <c r="V57" s="45"/>
      <c r="W57" s="45"/>
      <c r="X57" s="45"/>
      <c r="Y57" s="45"/>
      <c r="Z57" s="45"/>
      <c r="AA57" s="45"/>
      <c r="AB57" s="45"/>
      <c r="AC57" s="263"/>
      <c r="AD57" s="338"/>
    </row>
    <row r="58" spans="1:30" s="53" customFormat="1" ht="12">
      <c r="A58" s="44"/>
      <c r="B58" s="70"/>
      <c r="C58" s="224" t="s">
        <v>387</v>
      </c>
      <c r="D58" s="253" t="s">
        <v>601</v>
      </c>
      <c r="E58" s="217"/>
      <c r="F58" s="298">
        <f>'Mode Operating Assumptions'!D29</f>
        <v>0.39100279786137265</v>
      </c>
      <c r="G58" s="298">
        <f>'Mode Operating Assumptions'!E29</f>
        <v>0.39205714599476826</v>
      </c>
      <c r="H58" s="298">
        <f>'Mode Operating Assumptions'!F29</f>
        <v>0.39311874523828177</v>
      </c>
      <c r="I58" s="298">
        <f>'Mode Operating Assumptions'!G29</f>
        <v>0.39418767065254157</v>
      </c>
      <c r="J58" s="298">
        <f>'Mode Operating Assumptions'!H29</f>
        <v>0.39526399833776032</v>
      </c>
      <c r="K58" s="298">
        <f>'Mode Operating Assumptions'!I29</f>
        <v>0.39634780545179538</v>
      </c>
      <c r="L58" s="298">
        <f>'Mode Operating Assumptions'!J29</f>
        <v>0.39743917022858699</v>
      </c>
      <c r="M58" s="298">
        <f>'Mode Operating Assumptions'!K29</f>
        <v>0.39853817199698321</v>
      </c>
      <c r="N58" s="298">
        <f>'Mode Operating Assumptions'!L29</f>
        <v>0.39964489119996166</v>
      </c>
      <c r="O58" s="298">
        <f>'Mode Operating Assumptions'!M29</f>
        <v>0.40075940941425758</v>
      </c>
      <c r="P58" s="298">
        <f>'Mode Operating Assumptions'!N29</f>
        <v>0.40188180937040846</v>
      </c>
      <c r="Q58" s="298">
        <f>'Mode Operating Assumptions'!O29</f>
        <v>0.40301217497322528</v>
      </c>
      <c r="R58" s="298">
        <f>'Mode Operating Assumptions'!P29</f>
        <v>0.40415059132270104</v>
      </c>
      <c r="S58" s="298">
        <f>'Mode Operating Assumptions'!Q29</f>
        <v>0.40529714473536788</v>
      </c>
      <c r="T58" s="298">
        <f>'Mode Operating Assumptions'!R29</f>
        <v>0.40645192276611369</v>
      </c>
      <c r="U58" s="298">
        <f>'Mode Operating Assumptions'!S29</f>
        <v>0.40761501423047014</v>
      </c>
      <c r="V58" s="298">
        <f>'Mode Operating Assumptions'!T29</f>
        <v>0.40878650922738302</v>
      </c>
      <c r="W58" s="298">
        <f>'Mode Operating Assumptions'!U29</f>
        <v>0.40996649916247907</v>
      </c>
      <c r="X58" s="298">
        <f>'Mode Operating Assumptions'!V29</f>
        <v>0.41115507677183999</v>
      </c>
      <c r="Y58" s="298">
        <f>'Mode Operating Assumptions'!W29</f>
        <v>0.41235233614629774</v>
      </c>
      <c r="Z58" s="298">
        <f>'Mode Operating Assumptions'!X29</f>
        <v>0.41355837275626389</v>
      </c>
      <c r="AA58" s="298">
        <f>'Mode Operating Assumptions'!Y29</f>
        <v>0.41477328347710757</v>
      </c>
      <c r="AB58" s="298">
        <f>'Mode Operating Assumptions'!Z29</f>
        <v>0.415997166615095</v>
      </c>
      <c r="AC58" s="301">
        <f>'Mode Operating Assumptions'!AA29</f>
        <v>0.41723012193390652</v>
      </c>
      <c r="AD58" s="345">
        <f t="shared" si="0"/>
        <v>9.6905878298649686</v>
      </c>
    </row>
    <row r="59" spans="1:30" s="53" customFormat="1" ht="12">
      <c r="A59" s="44"/>
      <c r="B59" s="70"/>
      <c r="C59" s="224" t="s">
        <v>404</v>
      </c>
      <c r="D59" s="248">
        <f>'Mode Operating Assumptions'!C150</f>
        <v>0.38127571701364549</v>
      </c>
      <c r="E59" s="217"/>
      <c r="F59" s="45"/>
      <c r="G59" s="45"/>
      <c r="H59" s="45"/>
      <c r="I59" s="45"/>
      <c r="J59" s="45"/>
      <c r="K59" s="45"/>
      <c r="L59" s="45"/>
      <c r="M59" s="45"/>
      <c r="N59" s="45"/>
      <c r="O59" s="45"/>
      <c r="P59" s="45"/>
      <c r="Q59" s="45"/>
      <c r="R59" s="45"/>
      <c r="S59" s="45"/>
      <c r="T59" s="45"/>
      <c r="U59" s="45"/>
      <c r="V59" s="45"/>
      <c r="W59" s="45"/>
      <c r="X59" s="45"/>
      <c r="Y59" s="45"/>
      <c r="Z59" s="45"/>
      <c r="AA59" s="45"/>
      <c r="AB59" s="45"/>
      <c r="AC59" s="263"/>
      <c r="AD59" s="338"/>
    </row>
    <row r="60" spans="1:30" s="53" customFormat="1" ht="12">
      <c r="A60" s="44"/>
      <c r="B60" s="70"/>
      <c r="C60" s="224" t="s">
        <v>405</v>
      </c>
      <c r="D60" s="248">
        <f>'Mode Operating Assumptions'!C52</f>
        <v>0.234375</v>
      </c>
      <c r="E60" s="217"/>
      <c r="F60" s="45"/>
      <c r="G60" s="45"/>
      <c r="H60" s="45"/>
      <c r="I60" s="45"/>
      <c r="J60" s="45"/>
      <c r="K60" s="45"/>
      <c r="L60" s="45"/>
      <c r="M60" s="45"/>
      <c r="N60" s="45"/>
      <c r="O60" s="45"/>
      <c r="P60" s="45"/>
      <c r="Q60" s="45"/>
      <c r="R60" s="45"/>
      <c r="S60" s="45"/>
      <c r="T60" s="45"/>
      <c r="U60" s="45"/>
      <c r="V60" s="45"/>
      <c r="W60" s="45"/>
      <c r="X60" s="45"/>
      <c r="Y60" s="45"/>
      <c r="Z60" s="45"/>
      <c r="AA60" s="45"/>
      <c r="AB60" s="45"/>
      <c r="AC60" s="263"/>
      <c r="AD60" s="338"/>
    </row>
    <row r="61" spans="1:30" s="53" customFormat="1" ht="12">
      <c r="A61" s="44"/>
      <c r="C61" s="224" t="s">
        <v>384</v>
      </c>
      <c r="D61" s="253">
        <f>'Price Assumptions'!B3</f>
        <v>12.5</v>
      </c>
      <c r="E61" s="217"/>
      <c r="F61" s="45"/>
      <c r="G61" s="45"/>
      <c r="H61" s="45"/>
      <c r="I61" s="45"/>
      <c r="J61" s="45"/>
      <c r="K61" s="45"/>
      <c r="L61" s="45"/>
      <c r="M61" s="45"/>
      <c r="N61" s="45"/>
      <c r="O61" s="45"/>
      <c r="P61" s="45"/>
      <c r="Q61" s="45"/>
      <c r="R61" s="45"/>
      <c r="S61" s="45"/>
      <c r="T61" s="45"/>
      <c r="U61" s="45"/>
      <c r="V61" s="45"/>
      <c r="W61" s="45"/>
      <c r="X61" s="45"/>
      <c r="Y61" s="45"/>
      <c r="Z61" s="45"/>
      <c r="AA61" s="45"/>
      <c r="AB61" s="45"/>
      <c r="AC61" s="263"/>
      <c r="AD61" s="338"/>
    </row>
    <row r="62" spans="1:30" s="53" customFormat="1" ht="12">
      <c r="A62" s="44"/>
      <c r="B62" s="70"/>
      <c r="C62" s="224" t="s">
        <v>385</v>
      </c>
      <c r="D62" s="253">
        <f>'Price Assumptions'!B5</f>
        <v>12.5</v>
      </c>
      <c r="E62" s="217"/>
      <c r="F62" s="45"/>
      <c r="G62" s="45"/>
      <c r="H62" s="45"/>
      <c r="I62" s="45"/>
      <c r="J62" s="45"/>
      <c r="K62" s="45"/>
      <c r="L62" s="45"/>
      <c r="M62" s="45"/>
      <c r="N62" s="45"/>
      <c r="O62" s="45"/>
      <c r="P62" s="45"/>
      <c r="Q62" s="45"/>
      <c r="R62" s="45"/>
      <c r="S62" s="45"/>
      <c r="T62" s="45"/>
      <c r="U62" s="45"/>
      <c r="V62" s="45"/>
      <c r="W62" s="45"/>
      <c r="X62" s="45"/>
      <c r="Y62" s="45"/>
      <c r="Z62" s="45"/>
      <c r="AA62" s="45"/>
      <c r="AB62" s="45"/>
      <c r="AC62" s="263"/>
      <c r="AD62" s="338"/>
    </row>
    <row r="63" spans="1:30" s="53" customFormat="1" ht="12">
      <c r="A63" s="44"/>
      <c r="B63" s="70"/>
      <c r="C63" s="224" t="s">
        <v>403</v>
      </c>
      <c r="D63" s="253">
        <f>'Price Assumptions'!B7</f>
        <v>23.9</v>
      </c>
      <c r="E63" s="217"/>
      <c r="F63" s="45"/>
      <c r="G63" s="45"/>
      <c r="H63" s="45"/>
      <c r="I63" s="45"/>
      <c r="J63" s="45"/>
      <c r="K63" s="45"/>
      <c r="L63" s="45"/>
      <c r="M63" s="45"/>
      <c r="N63" s="45"/>
      <c r="O63" s="45"/>
      <c r="P63" s="45"/>
      <c r="Q63" s="45"/>
      <c r="R63" s="45"/>
      <c r="S63" s="45"/>
      <c r="T63" s="45"/>
      <c r="U63" s="45"/>
      <c r="V63" s="45"/>
      <c r="W63" s="45"/>
      <c r="X63" s="45"/>
      <c r="Y63" s="45"/>
      <c r="Z63" s="45"/>
      <c r="AA63" s="45"/>
      <c r="AB63" s="45"/>
      <c r="AC63" s="263"/>
      <c r="AD63" s="338"/>
    </row>
    <row r="64" spans="1:30" s="53" customFormat="1" ht="12">
      <c r="A64" s="44"/>
      <c r="B64" s="70"/>
      <c r="C64" s="78" t="s">
        <v>400</v>
      </c>
      <c r="D64" s="253"/>
      <c r="E64" s="217"/>
      <c r="F64" s="255">
        <f>+(F58*$D$61)-($D$59*$D$62)-($D$60*$D$63)</f>
        <v>-5.479973989403411</v>
      </c>
      <c r="G64" s="255">
        <f>+(G58*$D$61)-($D$59*$D$62)-($D$60*$D$63)</f>
        <v>-5.4667946377359655</v>
      </c>
      <c r="H64" s="255">
        <f t="shared" ref="H64:AC64" si="3">+(H58*$D$61)-($D$59*$D$62)-($D$60*$D$63)</f>
        <v>-5.4535246471920464</v>
      </c>
      <c r="I64" s="255">
        <f t="shared" si="3"/>
        <v>-5.4401630795137992</v>
      </c>
      <c r="J64" s="255">
        <f t="shared" si="3"/>
        <v>-5.4267089834485649</v>
      </c>
      <c r="K64" s="255">
        <f t="shared" si="3"/>
        <v>-5.4131613945231267</v>
      </c>
      <c r="L64" s="255">
        <f t="shared" si="3"/>
        <v>-5.399519334813232</v>
      </c>
      <c r="M64" s="255">
        <f t="shared" si="3"/>
        <v>-5.385781812708279</v>
      </c>
      <c r="N64" s="255">
        <f t="shared" si="3"/>
        <v>-5.3719478226710482</v>
      </c>
      <c r="O64" s="255">
        <f t="shared" si="3"/>
        <v>-5.3580163449923495</v>
      </c>
      <c r="P64" s="255">
        <f t="shared" si="3"/>
        <v>-5.343986345540463</v>
      </c>
      <c r="Q64" s="255">
        <f t="shared" si="3"/>
        <v>-5.3298567755052533</v>
      </c>
      <c r="R64" s="255">
        <f t="shared" si="3"/>
        <v>-5.3156265711368063</v>
      </c>
      <c r="S64" s="255">
        <f t="shared" si="3"/>
        <v>-5.3012946534784708</v>
      </c>
      <c r="T64" s="255">
        <f t="shared" si="3"/>
        <v>-5.286859928094148</v>
      </c>
      <c r="U64" s="255">
        <f t="shared" si="3"/>
        <v>-5.2723212847896921</v>
      </c>
      <c r="V64" s="255">
        <f t="shared" si="3"/>
        <v>-5.2576775973282812</v>
      </c>
      <c r="W64" s="255">
        <f t="shared" si="3"/>
        <v>-5.242927723139581</v>
      </c>
      <c r="X64" s="255">
        <f t="shared" si="3"/>
        <v>-5.2280705030225691</v>
      </c>
      <c r="Y64" s="255">
        <f t="shared" si="3"/>
        <v>-5.2131047608418468</v>
      </c>
      <c r="Z64" s="255">
        <f t="shared" si="3"/>
        <v>-5.19802930321727</v>
      </c>
      <c r="AA64" s="255">
        <f t="shared" si="3"/>
        <v>-5.182842919206724</v>
      </c>
      <c r="AB64" s="255">
        <f t="shared" si="3"/>
        <v>-5.167544379981881</v>
      </c>
      <c r="AC64" s="268">
        <f t="shared" si="3"/>
        <v>-5.1521324384967375</v>
      </c>
      <c r="AD64" s="346">
        <f t="shared" si="0"/>
        <v>-127.68786723078153</v>
      </c>
    </row>
    <row r="65" spans="1:30" s="53" customFormat="1" ht="12">
      <c r="A65" s="44"/>
      <c r="B65" s="70"/>
      <c r="D65" s="253"/>
      <c r="E65" s="217"/>
      <c r="F65" s="255">
        <f>F64*F56</f>
        <v>0</v>
      </c>
      <c r="G65" s="255">
        <f t="shared" ref="G65:AC65" si="4">G64*G56</f>
        <v>0</v>
      </c>
      <c r="H65" s="255">
        <f t="shared" si="4"/>
        <v>-199471.46730898929</v>
      </c>
      <c r="I65" s="255">
        <f t="shared" si="4"/>
        <v>-197588.12004295026</v>
      </c>
      <c r="J65" s="255">
        <f t="shared" si="4"/>
        <v>-195708.2865174342</v>
      </c>
      <c r="K65" s="255">
        <f t="shared" si="4"/>
        <v>-193832.00335805133</v>
      </c>
      <c r="L65" s="255">
        <f t="shared" si="4"/>
        <v>-191959.3077012111</v>
      </c>
      <c r="M65" s="255">
        <f t="shared" si="4"/>
        <v>-190090.23720305852</v>
      </c>
      <c r="N65" s="255">
        <f t="shared" si="4"/>
        <v>-192398.29612977483</v>
      </c>
      <c r="O65" s="255">
        <f t="shared" si="4"/>
        <v>-194688.41039429279</v>
      </c>
      <c r="P65" s="255">
        <f t="shared" si="4"/>
        <v>-196960.38964279855</v>
      </c>
      <c r="Q65" s="255">
        <f t="shared" si="4"/>
        <v>-199214.04081960503</v>
      </c>
      <c r="R65" s="255">
        <f t="shared" si="4"/>
        <v>-201449.1681190432</v>
      </c>
      <c r="S65" s="255">
        <f t="shared" si="4"/>
        <v>-203665.57293632231</v>
      </c>
      <c r="T65" s="255">
        <f t="shared" si="4"/>
        <v>-205863.05381733182</v>
      </c>
      <c r="U65" s="255">
        <f t="shared" si="4"/>
        <v>-208041.40640735975</v>
      </c>
      <c r="V65" s="255">
        <f t="shared" si="4"/>
        <v>-210200.42339869976</v>
      </c>
      <c r="W65" s="255">
        <f t="shared" si="4"/>
        <v>-212339.89447711722</v>
      </c>
      <c r="X65" s="255">
        <f t="shared" si="4"/>
        <v>-214861.58070751859</v>
      </c>
      <c r="Y65" s="255">
        <f t="shared" si="4"/>
        <v>-217360.98979323904</v>
      </c>
      <c r="Z65" s="255">
        <f t="shared" si="4"/>
        <v>-219837.87676011166</v>
      </c>
      <c r="AA65" s="255">
        <f t="shared" si="4"/>
        <v>-222291.99302889151</v>
      </c>
      <c r="AB65" s="255">
        <f t="shared" si="4"/>
        <v>-224723.08634869487</v>
      </c>
      <c r="AC65" s="268">
        <f t="shared" si="4"/>
        <v>-227130.90072895822</v>
      </c>
      <c r="AD65" s="346">
        <f t="shared" ref="AD65:AD127" si="5">SUM(F65:AC65)</f>
        <v>-4519676.5056414539</v>
      </c>
    </row>
    <row r="66" spans="1:30" s="53" customFormat="1" ht="12">
      <c r="A66" s="44"/>
      <c r="B66" s="70"/>
      <c r="C66" s="62" t="s">
        <v>413</v>
      </c>
      <c r="D66" s="210"/>
      <c r="E66" s="217"/>
      <c r="F66" s="289">
        <f>F65</f>
        <v>0</v>
      </c>
      <c r="G66" s="289">
        <f t="shared" ref="G66:AC66" si="6">G65</f>
        <v>0</v>
      </c>
      <c r="H66" s="289">
        <f t="shared" si="6"/>
        <v>-199471.46730898929</v>
      </c>
      <c r="I66" s="289">
        <f t="shared" si="6"/>
        <v>-197588.12004295026</v>
      </c>
      <c r="J66" s="289">
        <f t="shared" si="6"/>
        <v>-195708.2865174342</v>
      </c>
      <c r="K66" s="289">
        <f t="shared" si="6"/>
        <v>-193832.00335805133</v>
      </c>
      <c r="L66" s="289">
        <f t="shared" si="6"/>
        <v>-191959.3077012111</v>
      </c>
      <c r="M66" s="289">
        <f t="shared" si="6"/>
        <v>-190090.23720305852</v>
      </c>
      <c r="N66" s="289">
        <f t="shared" si="6"/>
        <v>-192398.29612977483</v>
      </c>
      <c r="O66" s="289">
        <f t="shared" si="6"/>
        <v>-194688.41039429279</v>
      </c>
      <c r="P66" s="289">
        <f t="shared" si="6"/>
        <v>-196960.38964279855</v>
      </c>
      <c r="Q66" s="289">
        <f t="shared" si="6"/>
        <v>-199214.04081960503</v>
      </c>
      <c r="R66" s="289">
        <f t="shared" si="6"/>
        <v>-201449.1681190432</v>
      </c>
      <c r="S66" s="289">
        <f t="shared" si="6"/>
        <v>-203665.57293632231</v>
      </c>
      <c r="T66" s="289">
        <f t="shared" si="6"/>
        <v>-205863.05381733182</v>
      </c>
      <c r="U66" s="289">
        <f t="shared" si="6"/>
        <v>-208041.40640735975</v>
      </c>
      <c r="V66" s="289">
        <f t="shared" si="6"/>
        <v>-210200.42339869976</v>
      </c>
      <c r="W66" s="289">
        <f t="shared" si="6"/>
        <v>-212339.89447711722</v>
      </c>
      <c r="X66" s="289">
        <f t="shared" si="6"/>
        <v>-214861.58070751859</v>
      </c>
      <c r="Y66" s="289">
        <f t="shared" si="6"/>
        <v>-217360.98979323904</v>
      </c>
      <c r="Z66" s="289">
        <f t="shared" si="6"/>
        <v>-219837.87676011166</v>
      </c>
      <c r="AA66" s="289">
        <f t="shared" si="6"/>
        <v>-222291.99302889151</v>
      </c>
      <c r="AB66" s="289">
        <f t="shared" si="6"/>
        <v>-224723.08634869487</v>
      </c>
      <c r="AC66" s="318">
        <f t="shared" si="6"/>
        <v>-227130.90072895822</v>
      </c>
      <c r="AD66" s="347">
        <f t="shared" si="5"/>
        <v>-4519676.5056414539</v>
      </c>
    </row>
    <row r="67" spans="1:30" s="53" customFormat="1" ht="12">
      <c r="A67" s="44"/>
      <c r="B67" s="70"/>
      <c r="D67" s="210"/>
      <c r="E67" s="217"/>
      <c r="F67" s="233"/>
      <c r="G67" s="233"/>
      <c r="H67" s="233"/>
      <c r="I67" s="233"/>
      <c r="J67" s="233"/>
      <c r="K67" s="233"/>
      <c r="L67" s="233"/>
      <c r="M67" s="233"/>
      <c r="N67" s="233"/>
      <c r="O67" s="233"/>
      <c r="P67" s="233"/>
      <c r="Q67" s="233"/>
      <c r="R67" s="233"/>
      <c r="S67" s="233"/>
      <c r="T67" s="233"/>
      <c r="U67" s="233"/>
      <c r="V67" s="233"/>
      <c r="W67" s="233"/>
      <c r="X67" s="233"/>
      <c r="Y67" s="233"/>
      <c r="Z67" s="233"/>
      <c r="AA67" s="233"/>
      <c r="AB67" s="233"/>
      <c r="AC67" s="266"/>
      <c r="AD67" s="348"/>
    </row>
    <row r="68" spans="1:30" s="53" customFormat="1" ht="12">
      <c r="A68" s="44"/>
      <c r="B68" s="70"/>
      <c r="C68" s="63" t="s">
        <v>149</v>
      </c>
      <c r="D68" s="210"/>
      <c r="E68" s="217"/>
      <c r="F68" s="233"/>
      <c r="G68" s="233"/>
      <c r="H68" s="233"/>
      <c r="I68" s="233"/>
      <c r="J68" s="233"/>
      <c r="K68" s="233"/>
      <c r="L68" s="233"/>
      <c r="M68" s="233"/>
      <c r="N68" s="233"/>
      <c r="O68" s="233"/>
      <c r="P68" s="233"/>
      <c r="Q68" s="233"/>
      <c r="R68" s="233"/>
      <c r="S68" s="233"/>
      <c r="T68" s="233"/>
      <c r="U68" s="233"/>
      <c r="V68" s="233"/>
      <c r="W68" s="233"/>
      <c r="X68" s="233"/>
      <c r="Y68" s="233"/>
      <c r="Z68" s="233"/>
      <c r="AA68" s="233"/>
      <c r="AB68" s="233"/>
      <c r="AC68" s="266"/>
      <c r="AD68" s="348"/>
    </row>
    <row r="69" spans="1:30" s="53" customFormat="1" ht="12">
      <c r="A69" s="44"/>
      <c r="B69" s="70"/>
      <c r="C69" s="224" t="s">
        <v>472</v>
      </c>
      <c r="D69" s="253">
        <f>'Mode Operating Assumptions'!C33</f>
        <v>8.1905000000000001</v>
      </c>
      <c r="E69" s="217"/>
      <c r="F69" s="233"/>
      <c r="G69" s="233"/>
      <c r="H69" s="233"/>
      <c r="I69" s="233"/>
      <c r="J69" s="233"/>
      <c r="K69" s="233"/>
      <c r="L69" s="233"/>
      <c r="M69" s="233"/>
      <c r="N69" s="233"/>
      <c r="O69" s="233"/>
      <c r="P69" s="233"/>
      <c r="Q69" s="233"/>
      <c r="R69" s="233"/>
      <c r="S69" s="233"/>
      <c r="T69" s="233"/>
      <c r="U69" s="233"/>
      <c r="V69" s="233"/>
      <c r="W69" s="233"/>
      <c r="X69" s="233"/>
      <c r="Y69" s="233"/>
      <c r="Z69" s="233"/>
      <c r="AA69" s="233"/>
      <c r="AB69" s="233"/>
      <c r="AC69" s="266"/>
      <c r="AD69" s="348"/>
    </row>
    <row r="70" spans="1:30" s="53" customFormat="1" ht="12">
      <c r="A70" s="44"/>
      <c r="B70" s="70"/>
      <c r="C70" s="225" t="s">
        <v>461</v>
      </c>
      <c r="D70" s="253">
        <f>'Mode Operating Assumptions'!C153</f>
        <v>2.107407271835358</v>
      </c>
      <c r="E70" s="217"/>
      <c r="F70" s="233"/>
      <c r="G70" s="233"/>
      <c r="H70" s="233"/>
      <c r="I70" s="233"/>
      <c r="J70" s="233"/>
      <c r="K70" s="233"/>
      <c r="L70" s="233"/>
      <c r="M70" s="233"/>
      <c r="N70" s="233"/>
      <c r="O70" s="233"/>
      <c r="P70" s="233"/>
      <c r="Q70" s="233"/>
      <c r="R70" s="233"/>
      <c r="S70" s="233"/>
      <c r="T70" s="233"/>
      <c r="U70" s="233"/>
      <c r="V70" s="233"/>
      <c r="W70" s="233"/>
      <c r="X70" s="233"/>
      <c r="Y70" s="233"/>
      <c r="Z70" s="233"/>
      <c r="AA70" s="233"/>
      <c r="AB70" s="233"/>
      <c r="AC70" s="266"/>
      <c r="AD70" s="348"/>
    </row>
    <row r="71" spans="1:30" s="53" customFormat="1" ht="12">
      <c r="A71" s="44"/>
      <c r="B71" s="70"/>
      <c r="C71" s="224" t="s">
        <v>473</v>
      </c>
      <c r="D71" s="253">
        <v>0.05</v>
      </c>
      <c r="E71" s="217"/>
      <c r="F71" s="233"/>
      <c r="G71" s="233"/>
      <c r="H71" s="233"/>
      <c r="I71" s="233"/>
      <c r="J71" s="233"/>
      <c r="K71" s="233"/>
      <c r="L71" s="233"/>
      <c r="M71" s="233"/>
      <c r="N71" s="233"/>
      <c r="O71" s="233"/>
      <c r="P71" s="233"/>
      <c r="Q71" s="233"/>
      <c r="R71" s="233"/>
      <c r="S71" s="233"/>
      <c r="T71" s="233"/>
      <c r="U71" s="233"/>
      <c r="V71" s="233"/>
      <c r="W71" s="233"/>
      <c r="X71" s="233"/>
      <c r="Y71" s="233"/>
      <c r="Z71" s="233"/>
      <c r="AA71" s="233"/>
      <c r="AB71" s="233"/>
      <c r="AC71" s="266"/>
      <c r="AD71" s="348"/>
    </row>
    <row r="72" spans="1:30" s="53" customFormat="1" ht="12">
      <c r="A72" s="44"/>
      <c r="B72" s="70"/>
      <c r="C72" s="78" t="s">
        <v>474</v>
      </c>
      <c r="D72" s="253">
        <f>+D69-D70-D71</f>
        <v>6.0330927281646423</v>
      </c>
      <c r="E72" s="217"/>
      <c r="F72" s="255">
        <f t="shared" ref="F72:AC72" si="7">$D72*F56</f>
        <v>0</v>
      </c>
      <c r="G72" s="255">
        <f t="shared" si="7"/>
        <v>0</v>
      </c>
      <c r="H72" s="255">
        <f t="shared" si="7"/>
        <v>220670.10543682531</v>
      </c>
      <c r="I72" s="255">
        <f t="shared" si="7"/>
        <v>219123.47714204621</v>
      </c>
      <c r="J72" s="255">
        <f t="shared" si="7"/>
        <v>217576.84884726704</v>
      </c>
      <c r="K72" s="255">
        <f t="shared" si="7"/>
        <v>216030.22055248791</v>
      </c>
      <c r="L72" s="255">
        <f t="shared" si="7"/>
        <v>214483.59225770869</v>
      </c>
      <c r="M72" s="255">
        <f t="shared" si="7"/>
        <v>212936.96396292959</v>
      </c>
      <c r="N72" s="255">
        <f t="shared" si="7"/>
        <v>216077.4452039742</v>
      </c>
      <c r="O72" s="255">
        <f t="shared" si="7"/>
        <v>219217.92644501882</v>
      </c>
      <c r="P72" s="255">
        <f t="shared" si="7"/>
        <v>222358.40768606344</v>
      </c>
      <c r="Q72" s="255">
        <f t="shared" si="7"/>
        <v>225498.88892710803</v>
      </c>
      <c r="R72" s="255">
        <f t="shared" si="7"/>
        <v>228639.37016815261</v>
      </c>
      <c r="S72" s="255">
        <f t="shared" si="7"/>
        <v>231779.8514091972</v>
      </c>
      <c r="T72" s="255">
        <f t="shared" si="7"/>
        <v>234920.33265024188</v>
      </c>
      <c r="U72" s="255">
        <f t="shared" si="7"/>
        <v>238060.81389128644</v>
      </c>
      <c r="V72" s="255">
        <f t="shared" si="7"/>
        <v>241201.29513233114</v>
      </c>
      <c r="W72" s="255">
        <f t="shared" si="7"/>
        <v>244341.7763733757</v>
      </c>
      <c r="X72" s="255">
        <f t="shared" si="7"/>
        <v>247946.1283812176</v>
      </c>
      <c r="Y72" s="255">
        <f t="shared" si="7"/>
        <v>251550.48038905946</v>
      </c>
      <c r="Z72" s="255">
        <f t="shared" si="7"/>
        <v>255154.83239690136</v>
      </c>
      <c r="AA72" s="255">
        <f t="shared" si="7"/>
        <v>258759.18440474328</v>
      </c>
      <c r="AB72" s="255">
        <f t="shared" si="7"/>
        <v>262363.53641258518</v>
      </c>
      <c r="AC72" s="268">
        <f t="shared" si="7"/>
        <v>265967.8884204271</v>
      </c>
      <c r="AD72" s="346">
        <f t="shared" si="5"/>
        <v>5144659.366490948</v>
      </c>
    </row>
    <row r="73" spans="1:30" s="53" customFormat="1" ht="12">
      <c r="A73" s="44"/>
      <c r="B73" s="70"/>
      <c r="C73" s="62" t="s">
        <v>414</v>
      </c>
      <c r="D73" s="210"/>
      <c r="E73" s="217"/>
      <c r="F73" s="289">
        <f>F72</f>
        <v>0</v>
      </c>
      <c r="G73" s="289">
        <f t="shared" ref="G73:AC73" si="8">G72</f>
        <v>0</v>
      </c>
      <c r="H73" s="289">
        <f t="shared" si="8"/>
        <v>220670.10543682531</v>
      </c>
      <c r="I73" s="289">
        <f t="shared" si="8"/>
        <v>219123.47714204621</v>
      </c>
      <c r="J73" s="289">
        <f t="shared" si="8"/>
        <v>217576.84884726704</v>
      </c>
      <c r="K73" s="289">
        <f t="shared" si="8"/>
        <v>216030.22055248791</v>
      </c>
      <c r="L73" s="289">
        <f t="shared" si="8"/>
        <v>214483.59225770869</v>
      </c>
      <c r="M73" s="289">
        <f t="shared" si="8"/>
        <v>212936.96396292959</v>
      </c>
      <c r="N73" s="289">
        <f t="shared" si="8"/>
        <v>216077.4452039742</v>
      </c>
      <c r="O73" s="289">
        <f t="shared" si="8"/>
        <v>219217.92644501882</v>
      </c>
      <c r="P73" s="289">
        <f t="shared" si="8"/>
        <v>222358.40768606344</v>
      </c>
      <c r="Q73" s="289">
        <f t="shared" si="8"/>
        <v>225498.88892710803</v>
      </c>
      <c r="R73" s="289">
        <f t="shared" si="8"/>
        <v>228639.37016815261</v>
      </c>
      <c r="S73" s="289">
        <f t="shared" si="8"/>
        <v>231779.8514091972</v>
      </c>
      <c r="T73" s="289">
        <f t="shared" si="8"/>
        <v>234920.33265024188</v>
      </c>
      <c r="U73" s="289">
        <f t="shared" si="8"/>
        <v>238060.81389128644</v>
      </c>
      <c r="V73" s="289">
        <f t="shared" si="8"/>
        <v>241201.29513233114</v>
      </c>
      <c r="W73" s="289">
        <f t="shared" si="8"/>
        <v>244341.7763733757</v>
      </c>
      <c r="X73" s="289">
        <f t="shared" si="8"/>
        <v>247946.1283812176</v>
      </c>
      <c r="Y73" s="289">
        <f t="shared" si="8"/>
        <v>251550.48038905946</v>
      </c>
      <c r="Z73" s="289">
        <f t="shared" si="8"/>
        <v>255154.83239690136</v>
      </c>
      <c r="AA73" s="289">
        <f t="shared" si="8"/>
        <v>258759.18440474328</v>
      </c>
      <c r="AB73" s="289">
        <f t="shared" si="8"/>
        <v>262363.53641258518</v>
      </c>
      <c r="AC73" s="318">
        <f t="shared" si="8"/>
        <v>265967.8884204271</v>
      </c>
      <c r="AD73" s="347">
        <f t="shared" si="5"/>
        <v>5144659.366490948</v>
      </c>
    </row>
    <row r="74" spans="1:30" s="53" customFormat="1" ht="12">
      <c r="A74" s="44"/>
      <c r="B74" s="70"/>
      <c r="C74" s="108"/>
      <c r="D74" s="210"/>
      <c r="E74" s="217"/>
      <c r="F74" s="45"/>
      <c r="G74" s="62"/>
      <c r="H74" s="59"/>
      <c r="I74" s="59"/>
      <c r="J74" s="59"/>
      <c r="K74" s="59"/>
      <c r="L74" s="59"/>
      <c r="M74" s="59"/>
      <c r="N74" s="59"/>
      <c r="O74" s="59"/>
      <c r="P74" s="59"/>
      <c r="Q74" s="59"/>
      <c r="R74" s="59"/>
      <c r="S74" s="59"/>
      <c r="T74" s="59"/>
      <c r="U74" s="59"/>
      <c r="V74" s="59"/>
      <c r="W74" s="59"/>
      <c r="X74" s="59"/>
      <c r="Y74" s="59"/>
      <c r="AC74" s="263"/>
      <c r="AD74" s="338"/>
    </row>
    <row r="75" spans="1:30" s="53" customFormat="1" ht="12">
      <c r="A75" s="44"/>
      <c r="B75" s="5" t="s">
        <v>261</v>
      </c>
      <c r="C75" s="55"/>
      <c r="D75" s="210"/>
      <c r="E75" s="217"/>
      <c r="F75" s="45"/>
      <c r="G75" s="59"/>
      <c r="H75" s="59"/>
      <c r="I75" s="59"/>
      <c r="J75" s="59"/>
      <c r="K75" s="59"/>
      <c r="L75" s="59"/>
      <c r="M75" s="59"/>
      <c r="N75" s="59"/>
      <c r="O75" s="59"/>
      <c r="P75" s="59"/>
      <c r="Q75" s="59"/>
      <c r="R75" s="59"/>
      <c r="S75" s="59"/>
      <c r="T75" s="59"/>
      <c r="U75" s="59"/>
      <c r="V75" s="59"/>
      <c r="W75" s="59"/>
      <c r="X75" s="59"/>
      <c r="Y75" s="59"/>
      <c r="AC75" s="263"/>
      <c r="AD75" s="338"/>
    </row>
    <row r="76" spans="1:30" s="53" customFormat="1" ht="12">
      <c r="A76" s="44"/>
      <c r="B76" s="70" t="s">
        <v>447</v>
      </c>
      <c r="C76" s="70" t="s">
        <v>350</v>
      </c>
      <c r="D76" s="210"/>
      <c r="E76" s="217"/>
      <c r="F76" s="45"/>
      <c r="G76" s="59"/>
      <c r="H76" s="59"/>
      <c r="I76" s="59"/>
      <c r="J76" s="59"/>
      <c r="K76" s="59"/>
      <c r="L76" s="59"/>
      <c r="M76" s="59"/>
      <c r="N76" s="59"/>
      <c r="O76" s="59"/>
      <c r="P76" s="59"/>
      <c r="Q76" s="59"/>
      <c r="R76" s="59"/>
      <c r="S76" s="59"/>
      <c r="T76" s="59"/>
      <c r="U76" s="59"/>
      <c r="V76" s="59"/>
      <c r="W76" s="59"/>
      <c r="X76" s="59"/>
      <c r="Y76" s="59"/>
      <c r="AC76" s="263"/>
      <c r="AD76" s="338"/>
    </row>
    <row r="77" spans="1:30" s="53" customFormat="1" ht="12">
      <c r="A77" s="44"/>
      <c r="C77" s="63" t="s">
        <v>131</v>
      </c>
      <c r="D77" s="210"/>
      <c r="E77" s="217"/>
      <c r="F77" s="45"/>
      <c r="G77" s="59"/>
      <c r="H77" s="59"/>
      <c r="I77" s="59"/>
      <c r="J77" s="59"/>
      <c r="K77" s="59"/>
      <c r="L77" s="59"/>
      <c r="M77" s="59"/>
      <c r="N77" s="59"/>
      <c r="O77" s="59"/>
      <c r="P77" s="59"/>
      <c r="Q77" s="59"/>
      <c r="R77" s="59"/>
      <c r="S77" s="59"/>
      <c r="T77" s="59"/>
      <c r="U77" s="59"/>
      <c r="V77" s="59"/>
      <c r="W77" s="59"/>
      <c r="X77" s="59"/>
      <c r="Y77" s="59"/>
      <c r="AC77" s="263"/>
      <c r="AD77" s="338"/>
    </row>
    <row r="78" spans="1:30" s="53" customFormat="1" ht="12">
      <c r="A78" s="44"/>
      <c r="B78" s="70"/>
      <c r="C78" s="226" t="s">
        <v>602</v>
      </c>
      <c r="D78" s="247">
        <f>30/3600</f>
        <v>8.3333333333333332E-3</v>
      </c>
      <c r="E78" s="217"/>
      <c r="F78" s="45"/>
      <c r="G78" s="59"/>
      <c r="H78" s="59"/>
      <c r="I78" s="59"/>
      <c r="J78" s="59"/>
      <c r="K78" s="59"/>
      <c r="L78" s="59"/>
      <c r="M78" s="59"/>
      <c r="N78" s="59"/>
      <c r="O78" s="59"/>
      <c r="P78" s="59"/>
      <c r="Q78" s="59"/>
      <c r="R78" s="59"/>
      <c r="S78" s="59"/>
      <c r="T78" s="59"/>
      <c r="U78" s="59"/>
      <c r="V78" s="59"/>
      <c r="W78" s="59"/>
      <c r="X78" s="59"/>
      <c r="Y78" s="59"/>
      <c r="AC78" s="263"/>
      <c r="AD78" s="338"/>
    </row>
    <row r="79" spans="1:30" s="53" customFormat="1" ht="12">
      <c r="A79" s="44"/>
      <c r="B79" s="70"/>
      <c r="C79" s="224" t="s">
        <v>422</v>
      </c>
      <c r="D79" s="223">
        <f>'Price Assumptions'!$B$3</f>
        <v>12.5</v>
      </c>
      <c r="E79" s="217"/>
      <c r="F79" s="45"/>
      <c r="G79" s="59"/>
      <c r="H79" s="59"/>
      <c r="I79" s="59"/>
      <c r="J79" s="59"/>
      <c r="K79" s="59"/>
      <c r="L79" s="59"/>
      <c r="M79" s="59"/>
      <c r="N79" s="59"/>
      <c r="O79" s="59"/>
      <c r="P79" s="59"/>
      <c r="Q79" s="59"/>
      <c r="R79" s="59"/>
      <c r="S79" s="59"/>
      <c r="T79" s="59"/>
      <c r="U79" s="59"/>
      <c r="V79" s="59"/>
      <c r="W79" s="59"/>
      <c r="X79" s="59"/>
      <c r="Y79" s="59"/>
      <c r="AC79" s="263"/>
      <c r="AD79" s="338"/>
    </row>
    <row r="80" spans="1:30" s="53" customFormat="1" ht="12">
      <c r="A80" s="44"/>
      <c r="B80" s="70"/>
      <c r="C80" s="62" t="s">
        <v>413</v>
      </c>
      <c r="D80" s="210"/>
      <c r="E80" s="217"/>
      <c r="F80" s="285">
        <f>$D$78*$D$79*F15</f>
        <v>0</v>
      </c>
      <c r="G80" s="285">
        <f t="shared" ref="G80:AC80" si="9">$D$78*$D$79*G15</f>
        <v>0</v>
      </c>
      <c r="H80" s="285">
        <f t="shared" si="9"/>
        <v>4448.8071137466859</v>
      </c>
      <c r="I80" s="285">
        <f t="shared" si="9"/>
        <v>4417.6264019483442</v>
      </c>
      <c r="J80" s="285">
        <f t="shared" si="9"/>
        <v>4386.4456901500025</v>
      </c>
      <c r="K80" s="285">
        <f t="shared" si="9"/>
        <v>4355.2649783516599</v>
      </c>
      <c r="L80" s="285">
        <f t="shared" si="9"/>
        <v>4324.0842665533173</v>
      </c>
      <c r="M80" s="285">
        <f t="shared" si="9"/>
        <v>4292.9035547549756</v>
      </c>
      <c r="N80" s="285">
        <f t="shared" si="9"/>
        <v>4356.21704825284</v>
      </c>
      <c r="O80" s="285">
        <f t="shared" si="9"/>
        <v>4419.5305417507025</v>
      </c>
      <c r="P80" s="285">
        <f t="shared" si="9"/>
        <v>4482.8440352485668</v>
      </c>
      <c r="Q80" s="285">
        <f t="shared" si="9"/>
        <v>4546.1575287464302</v>
      </c>
      <c r="R80" s="285">
        <f t="shared" si="9"/>
        <v>4609.4710222442927</v>
      </c>
      <c r="S80" s="285">
        <f t="shared" si="9"/>
        <v>4672.7845157421561</v>
      </c>
      <c r="T80" s="285">
        <f t="shared" si="9"/>
        <v>4736.0980092400196</v>
      </c>
      <c r="U80" s="285">
        <f t="shared" si="9"/>
        <v>4799.4115027378839</v>
      </c>
      <c r="V80" s="285">
        <f t="shared" si="9"/>
        <v>4862.7249962357473</v>
      </c>
      <c r="W80" s="285">
        <f t="shared" si="9"/>
        <v>4926.0384897336116</v>
      </c>
      <c r="X80" s="285">
        <f t="shared" si="9"/>
        <v>4998.7038234506181</v>
      </c>
      <c r="Y80" s="285">
        <f t="shared" si="9"/>
        <v>5071.3691571676263</v>
      </c>
      <c r="Z80" s="285">
        <f t="shared" si="9"/>
        <v>5144.0344908846328</v>
      </c>
      <c r="AA80" s="285">
        <f t="shared" si="9"/>
        <v>5216.699824601641</v>
      </c>
      <c r="AB80" s="285">
        <f t="shared" si="9"/>
        <v>5289.3651583186484</v>
      </c>
      <c r="AC80" s="286">
        <f t="shared" si="9"/>
        <v>5362.0304920356557</v>
      </c>
      <c r="AD80" s="349">
        <f t="shared" si="5"/>
        <v>103718.61264189606</v>
      </c>
    </row>
    <row r="81" spans="1:30" s="53" customFormat="1" ht="12">
      <c r="A81" s="44"/>
      <c r="B81" s="70"/>
      <c r="D81" s="210"/>
      <c r="E81" s="217"/>
      <c r="F81" s="45"/>
      <c r="G81" s="59"/>
      <c r="H81" s="59"/>
      <c r="I81" s="59"/>
      <c r="J81" s="59"/>
      <c r="K81" s="59"/>
      <c r="L81" s="59"/>
      <c r="M81" s="59"/>
      <c r="N81" s="59"/>
      <c r="O81" s="59"/>
      <c r="P81" s="59"/>
      <c r="Q81" s="59"/>
      <c r="R81" s="59"/>
      <c r="S81" s="59"/>
      <c r="T81" s="59"/>
      <c r="U81" s="59"/>
      <c r="V81" s="59"/>
      <c r="W81" s="59"/>
      <c r="X81" s="59"/>
      <c r="Y81" s="59"/>
      <c r="AC81" s="263"/>
      <c r="AD81" s="338"/>
    </row>
    <row r="82" spans="1:30" s="53" customFormat="1" ht="12">
      <c r="A82" s="44"/>
      <c r="B82" s="70"/>
      <c r="D82" s="210"/>
      <c r="E82" s="217"/>
      <c r="F82" s="45"/>
      <c r="G82" s="59"/>
      <c r="H82" s="59"/>
      <c r="I82" s="59"/>
      <c r="J82" s="59"/>
      <c r="K82" s="59"/>
      <c r="L82" s="59"/>
      <c r="M82" s="59"/>
      <c r="N82" s="59"/>
      <c r="O82" s="59"/>
      <c r="P82" s="59"/>
      <c r="Q82" s="59"/>
      <c r="R82" s="59"/>
      <c r="S82" s="59"/>
      <c r="T82" s="59"/>
      <c r="U82" s="59"/>
      <c r="V82" s="59"/>
      <c r="W82" s="59"/>
      <c r="X82" s="59"/>
      <c r="Y82" s="59"/>
      <c r="AC82" s="263"/>
      <c r="AD82" s="338"/>
    </row>
    <row r="83" spans="1:30" s="53" customFormat="1" ht="12">
      <c r="A83" s="44"/>
      <c r="B83" s="250" t="s">
        <v>446</v>
      </c>
      <c r="C83" s="54" t="s">
        <v>410</v>
      </c>
      <c r="D83" s="210"/>
      <c r="E83" s="217"/>
      <c r="F83" s="45">
        <f>F16</f>
        <v>0</v>
      </c>
      <c r="G83" s="45">
        <f t="shared" ref="G83:AC83" si="10">G16</f>
        <v>0</v>
      </c>
      <c r="H83" s="45">
        <f t="shared" si="10"/>
        <v>1708.3419316787274</v>
      </c>
      <c r="I83" s="244">
        <f t="shared" si="10"/>
        <v>1696.3685383481641</v>
      </c>
      <c r="J83" s="244">
        <f t="shared" si="10"/>
        <v>1684.3951450176007</v>
      </c>
      <c r="K83" s="244">
        <f t="shared" si="10"/>
        <v>1672.4217516870376</v>
      </c>
      <c r="L83" s="244">
        <f t="shared" si="10"/>
        <v>1660.448358356474</v>
      </c>
      <c r="M83" s="244">
        <f t="shared" si="10"/>
        <v>1648.4749650259107</v>
      </c>
      <c r="N83" s="244">
        <f t="shared" si="10"/>
        <v>1672.7873465290904</v>
      </c>
      <c r="O83" s="244">
        <f t="shared" si="10"/>
        <v>1697.0997280322697</v>
      </c>
      <c r="P83" s="244">
        <f t="shared" si="10"/>
        <v>1721.4121095354494</v>
      </c>
      <c r="Q83" s="244">
        <f t="shared" si="10"/>
        <v>1745.7244910386291</v>
      </c>
      <c r="R83" s="244">
        <f t="shared" si="10"/>
        <v>1770.0368725418084</v>
      </c>
      <c r="S83" s="244">
        <f t="shared" si="10"/>
        <v>1794.3492540449879</v>
      </c>
      <c r="T83" s="244">
        <f t="shared" si="10"/>
        <v>1818.6616355481674</v>
      </c>
      <c r="U83" s="244">
        <f t="shared" si="10"/>
        <v>1842.9740170513476</v>
      </c>
      <c r="V83" s="244">
        <f t="shared" si="10"/>
        <v>1867.2863985545271</v>
      </c>
      <c r="W83" s="244">
        <f t="shared" si="10"/>
        <v>1891.5987800577068</v>
      </c>
      <c r="X83" s="244">
        <f t="shared" si="10"/>
        <v>1919.5022682050371</v>
      </c>
      <c r="Y83" s="244">
        <f t="shared" si="10"/>
        <v>1947.4057563523684</v>
      </c>
      <c r="Z83" s="244">
        <f t="shared" si="10"/>
        <v>1975.3092444996989</v>
      </c>
      <c r="AA83" s="244">
        <f t="shared" si="10"/>
        <v>2003.2127326470302</v>
      </c>
      <c r="AB83" s="244">
        <f t="shared" si="10"/>
        <v>2031.116220794361</v>
      </c>
      <c r="AC83" s="265">
        <f t="shared" si="10"/>
        <v>2059.019708941692</v>
      </c>
      <c r="AD83" s="340">
        <f t="shared" si="5"/>
        <v>39827.947254488085</v>
      </c>
    </row>
    <row r="84" spans="1:30" s="53" customFormat="1" ht="12">
      <c r="A84" s="44"/>
      <c r="B84" s="70"/>
      <c r="C84" s="63" t="s">
        <v>131</v>
      </c>
      <c r="D84" s="210"/>
      <c r="E84" s="217"/>
      <c r="F84" s="45"/>
      <c r="G84" s="293"/>
      <c r="H84" s="293"/>
      <c r="I84" s="293"/>
      <c r="J84" s="293"/>
      <c r="K84" s="293"/>
      <c r="L84" s="293"/>
      <c r="M84" s="293"/>
      <c r="N84" s="293"/>
      <c r="O84" s="293"/>
      <c r="P84" s="293"/>
      <c r="Q84" s="293"/>
      <c r="R84" s="293"/>
      <c r="S84" s="293"/>
      <c r="T84" s="293"/>
      <c r="U84" s="293"/>
      <c r="V84" s="293"/>
      <c r="W84" s="293"/>
      <c r="X84" s="293"/>
      <c r="Y84" s="293"/>
      <c r="Z84" s="45"/>
      <c r="AA84" s="45"/>
      <c r="AB84" s="45"/>
      <c r="AC84" s="263"/>
      <c r="AD84" s="338"/>
    </row>
    <row r="85" spans="1:30" s="53" customFormat="1" ht="12">
      <c r="A85" s="44"/>
      <c r="B85" s="70"/>
      <c r="C85" s="224" t="s">
        <v>387</v>
      </c>
      <c r="D85" s="210" t="s">
        <v>601</v>
      </c>
      <c r="E85" s="217"/>
      <c r="F85" s="298">
        <f>F58</f>
        <v>0.39100279786137265</v>
      </c>
      <c r="G85" s="298">
        <f t="shared" ref="G85:AC85" si="11">G58</f>
        <v>0.39205714599476826</v>
      </c>
      <c r="H85" s="298">
        <f t="shared" si="11"/>
        <v>0.39311874523828177</v>
      </c>
      <c r="I85" s="298">
        <f t="shared" si="11"/>
        <v>0.39418767065254157</v>
      </c>
      <c r="J85" s="298">
        <f t="shared" si="11"/>
        <v>0.39526399833776032</v>
      </c>
      <c r="K85" s="298">
        <f t="shared" si="11"/>
        <v>0.39634780545179538</v>
      </c>
      <c r="L85" s="298">
        <f t="shared" si="11"/>
        <v>0.39743917022858699</v>
      </c>
      <c r="M85" s="298">
        <f t="shared" si="11"/>
        <v>0.39853817199698321</v>
      </c>
      <c r="N85" s="298">
        <f t="shared" si="11"/>
        <v>0.39964489119996166</v>
      </c>
      <c r="O85" s="298">
        <f t="shared" si="11"/>
        <v>0.40075940941425758</v>
      </c>
      <c r="P85" s="298">
        <f t="shared" si="11"/>
        <v>0.40188180937040846</v>
      </c>
      <c r="Q85" s="298">
        <f t="shared" si="11"/>
        <v>0.40301217497322528</v>
      </c>
      <c r="R85" s="298">
        <f t="shared" si="11"/>
        <v>0.40415059132270104</v>
      </c>
      <c r="S85" s="298">
        <f t="shared" si="11"/>
        <v>0.40529714473536788</v>
      </c>
      <c r="T85" s="298">
        <f t="shared" si="11"/>
        <v>0.40645192276611369</v>
      </c>
      <c r="U85" s="298">
        <f t="shared" si="11"/>
        <v>0.40761501423047014</v>
      </c>
      <c r="V85" s="298">
        <f t="shared" si="11"/>
        <v>0.40878650922738302</v>
      </c>
      <c r="W85" s="298">
        <f t="shared" si="11"/>
        <v>0.40996649916247907</v>
      </c>
      <c r="X85" s="298">
        <f t="shared" si="11"/>
        <v>0.41115507677183999</v>
      </c>
      <c r="Y85" s="298">
        <f t="shared" si="11"/>
        <v>0.41235233614629774</v>
      </c>
      <c r="Z85" s="298">
        <f t="shared" si="11"/>
        <v>0.41355837275626389</v>
      </c>
      <c r="AA85" s="298">
        <f t="shared" si="11"/>
        <v>0.41477328347710757</v>
      </c>
      <c r="AB85" s="298">
        <f t="shared" si="11"/>
        <v>0.415997166615095</v>
      </c>
      <c r="AC85" s="301">
        <f t="shared" si="11"/>
        <v>0.41723012193390652</v>
      </c>
      <c r="AD85" s="345">
        <f t="shared" si="5"/>
        <v>9.6905878298649686</v>
      </c>
    </row>
    <row r="86" spans="1:30" s="53" customFormat="1" ht="12">
      <c r="A86" s="44"/>
      <c r="B86" s="70"/>
      <c r="C86" s="224" t="s">
        <v>404</v>
      </c>
      <c r="D86" s="248">
        <f>D59</f>
        <v>0.38127571701364549</v>
      </c>
      <c r="E86" s="217"/>
      <c r="F86" s="45"/>
      <c r="G86" s="293"/>
      <c r="H86" s="293"/>
      <c r="I86" s="293"/>
      <c r="J86" s="293"/>
      <c r="K86" s="293"/>
      <c r="L86" s="293"/>
      <c r="M86" s="293"/>
      <c r="N86" s="293"/>
      <c r="O86" s="293"/>
      <c r="P86" s="293"/>
      <c r="Q86" s="293"/>
      <c r="R86" s="293"/>
      <c r="S86" s="293"/>
      <c r="T86" s="293"/>
      <c r="U86" s="293"/>
      <c r="V86" s="293"/>
      <c r="W86" s="293"/>
      <c r="X86" s="293"/>
      <c r="Y86" s="293"/>
      <c r="Z86" s="45"/>
      <c r="AA86" s="45"/>
      <c r="AB86" s="45"/>
      <c r="AC86" s="263"/>
      <c r="AD86" s="338"/>
    </row>
    <row r="87" spans="1:30" s="53" customFormat="1" ht="12">
      <c r="A87" s="44"/>
      <c r="B87" s="70"/>
      <c r="C87" s="224" t="s">
        <v>423</v>
      </c>
      <c r="D87" s="210">
        <f>'Mode Operating Assumptions'!C102</f>
        <v>0.17899999999999999</v>
      </c>
      <c r="E87" s="217"/>
      <c r="F87" s="45"/>
      <c r="G87" s="293"/>
      <c r="H87" s="293"/>
      <c r="I87" s="293"/>
      <c r="J87" s="293"/>
      <c r="K87" s="293"/>
      <c r="L87" s="293"/>
      <c r="M87" s="293"/>
      <c r="N87" s="293"/>
      <c r="O87" s="293"/>
      <c r="P87" s="293"/>
      <c r="Q87" s="293"/>
      <c r="R87" s="293"/>
      <c r="S87" s="293"/>
      <c r="T87" s="293"/>
      <c r="U87" s="293"/>
      <c r="V87" s="293"/>
      <c r="W87" s="293"/>
      <c r="X87" s="293"/>
      <c r="Y87" s="293"/>
      <c r="Z87" s="45"/>
      <c r="AA87" s="45"/>
      <c r="AB87" s="45"/>
      <c r="AC87" s="263"/>
      <c r="AD87" s="338"/>
    </row>
    <row r="88" spans="1:30" s="53" customFormat="1" ht="12">
      <c r="A88" s="44"/>
      <c r="B88" s="70"/>
      <c r="C88" s="224" t="s">
        <v>384</v>
      </c>
      <c r="D88" s="253">
        <f>D61</f>
        <v>12.5</v>
      </c>
      <c r="E88" s="217"/>
      <c r="F88" s="45"/>
      <c r="G88" s="293"/>
      <c r="H88" s="293"/>
      <c r="I88" s="293"/>
      <c r="J88" s="293"/>
      <c r="K88" s="293"/>
      <c r="L88" s="293"/>
      <c r="M88" s="293"/>
      <c r="N88" s="293"/>
      <c r="O88" s="293"/>
      <c r="P88" s="293"/>
      <c r="Q88" s="293"/>
      <c r="R88" s="293"/>
      <c r="S88" s="293"/>
      <c r="T88" s="293"/>
      <c r="U88" s="293"/>
      <c r="V88" s="293"/>
      <c r="W88" s="293"/>
      <c r="X88" s="293"/>
      <c r="Y88" s="293"/>
      <c r="Z88" s="45"/>
      <c r="AA88" s="45"/>
      <c r="AB88" s="45"/>
      <c r="AC88" s="263"/>
      <c r="AD88" s="338"/>
    </row>
    <row r="89" spans="1:30" s="53" customFormat="1" ht="12">
      <c r="A89" s="44"/>
      <c r="B89" s="70"/>
      <c r="C89" s="224" t="s">
        <v>385</v>
      </c>
      <c r="D89" s="253">
        <f t="shared" ref="D89" si="12">D62</f>
        <v>12.5</v>
      </c>
      <c r="E89" s="217"/>
      <c r="F89" s="45"/>
      <c r="G89" s="293"/>
      <c r="H89" s="293"/>
      <c r="I89" s="293"/>
      <c r="J89" s="293"/>
      <c r="K89" s="293"/>
      <c r="L89" s="293"/>
      <c r="M89" s="293"/>
      <c r="N89" s="293"/>
      <c r="O89" s="293"/>
      <c r="P89" s="293"/>
      <c r="Q89" s="293"/>
      <c r="R89" s="293"/>
      <c r="S89" s="293"/>
      <c r="T89" s="293"/>
      <c r="U89" s="293"/>
      <c r="V89" s="293"/>
      <c r="W89" s="293"/>
      <c r="X89" s="293"/>
      <c r="Y89" s="293"/>
      <c r="Z89" s="45"/>
      <c r="AA89" s="45"/>
      <c r="AB89" s="45"/>
      <c r="AC89" s="263"/>
      <c r="AD89" s="338"/>
    </row>
    <row r="90" spans="1:30" s="53" customFormat="1" ht="12">
      <c r="A90" s="44"/>
      <c r="B90" s="70"/>
      <c r="C90" s="224" t="s">
        <v>422</v>
      </c>
      <c r="D90" s="253">
        <f>'Mode Operating Assumptions'!C103</f>
        <v>12.5</v>
      </c>
      <c r="E90" s="217"/>
      <c r="F90" s="45"/>
      <c r="G90" s="293"/>
      <c r="H90" s="293"/>
      <c r="I90" s="293"/>
      <c r="J90" s="293"/>
      <c r="K90" s="293"/>
      <c r="L90" s="293"/>
      <c r="M90" s="293"/>
      <c r="N90" s="293"/>
      <c r="O90" s="293"/>
      <c r="P90" s="293"/>
      <c r="Q90" s="293"/>
      <c r="R90" s="293"/>
      <c r="S90" s="293"/>
      <c r="T90" s="293"/>
      <c r="U90" s="293"/>
      <c r="V90" s="293"/>
      <c r="W90" s="293"/>
      <c r="X90" s="293"/>
      <c r="Y90" s="293"/>
      <c r="Z90" s="45"/>
      <c r="AA90" s="45"/>
      <c r="AB90" s="45"/>
      <c r="AC90" s="263"/>
      <c r="AD90" s="338"/>
    </row>
    <row r="91" spans="1:30" s="53" customFormat="1" ht="12">
      <c r="A91" s="44"/>
      <c r="B91" s="70"/>
      <c r="C91" s="78" t="s">
        <v>424</v>
      </c>
      <c r="D91" s="210"/>
      <c r="E91" s="217"/>
      <c r="F91" s="255">
        <f>+(F85*$D$88)-($D$86*$D$89)-($D$87*$D$90)</f>
        <v>-2.1159114894034108</v>
      </c>
      <c r="G91" s="255">
        <f t="shared" ref="G91:AC91" si="13">+(G85*$D$88)-($D$86*$D$89)-($D$87*$D$90)</f>
        <v>-2.1027321377359653</v>
      </c>
      <c r="H91" s="255">
        <f t="shared" si="13"/>
        <v>-2.0894621471920463</v>
      </c>
      <c r="I91" s="255">
        <f t="shared" si="13"/>
        <v>-2.076100579513799</v>
      </c>
      <c r="J91" s="255">
        <f t="shared" si="13"/>
        <v>-2.0626464834485647</v>
      </c>
      <c r="K91" s="255">
        <f t="shared" si="13"/>
        <v>-2.0490988945231265</v>
      </c>
      <c r="L91" s="255">
        <f t="shared" si="13"/>
        <v>-2.0354568348132318</v>
      </c>
      <c r="M91" s="255">
        <f t="shared" si="13"/>
        <v>-2.0217193127082789</v>
      </c>
      <c r="N91" s="255">
        <f t="shared" si="13"/>
        <v>-2.007885322671048</v>
      </c>
      <c r="O91" s="255">
        <f t="shared" si="13"/>
        <v>-1.9939538449923493</v>
      </c>
      <c r="P91" s="255">
        <f t="shared" si="13"/>
        <v>-1.9799238455404629</v>
      </c>
      <c r="Q91" s="255">
        <f t="shared" si="13"/>
        <v>-1.9657942755052531</v>
      </c>
      <c r="R91" s="255">
        <f t="shared" si="13"/>
        <v>-1.9515640711368061</v>
      </c>
      <c r="S91" s="255">
        <f t="shared" si="13"/>
        <v>-1.9372321534784707</v>
      </c>
      <c r="T91" s="255">
        <f t="shared" si="13"/>
        <v>-1.9227974280941478</v>
      </c>
      <c r="U91" s="255">
        <f t="shared" si="13"/>
        <v>-1.9082587847896919</v>
      </c>
      <c r="V91" s="255">
        <f t="shared" si="13"/>
        <v>-1.893615097328281</v>
      </c>
      <c r="W91" s="255">
        <f t="shared" si="13"/>
        <v>-1.8788652231395808</v>
      </c>
      <c r="X91" s="255">
        <f t="shared" si="13"/>
        <v>-1.864008003022569</v>
      </c>
      <c r="Y91" s="255">
        <f t="shared" si="13"/>
        <v>-1.8490422608418466</v>
      </c>
      <c r="Z91" s="255">
        <f t="shared" si="13"/>
        <v>-1.8339668032172698</v>
      </c>
      <c r="AA91" s="255">
        <f t="shared" si="13"/>
        <v>-1.8187804192067238</v>
      </c>
      <c r="AB91" s="255">
        <f t="shared" si="13"/>
        <v>-1.8034818799818808</v>
      </c>
      <c r="AC91" s="268">
        <f t="shared" si="13"/>
        <v>-1.7880699384967373</v>
      </c>
      <c r="AD91" s="346">
        <f t="shared" si="5"/>
        <v>-46.950367230781552</v>
      </c>
    </row>
    <row r="92" spans="1:30">
      <c r="D92" s="210"/>
      <c r="E92" s="217"/>
      <c r="F92" s="255">
        <f>F91*F83</f>
        <v>0</v>
      </c>
      <c r="G92" s="255">
        <f t="shared" ref="G92:AC92" si="14">G91*G83</f>
        <v>0</v>
      </c>
      <c r="H92" s="255">
        <f t="shared" si="14"/>
        <v>-3569.5158007036416</v>
      </c>
      <c r="I92" s="255">
        <f t="shared" si="14"/>
        <v>-3521.8317055335997</v>
      </c>
      <c r="J92" s="255">
        <f t="shared" si="14"/>
        <v>-3474.3117226083891</v>
      </c>
      <c r="K92" s="255">
        <f t="shared" si="14"/>
        <v>-3426.9575625583398</v>
      </c>
      <c r="L92" s="255">
        <f t="shared" si="14"/>
        <v>-3379.7709598710953</v>
      </c>
      <c r="M92" s="255">
        <f t="shared" si="14"/>
        <v>-3332.7536733089883</v>
      </c>
      <c r="N92" s="255">
        <f t="shared" si="14"/>
        <v>-3358.7651610456091</v>
      </c>
      <c r="O92" s="255">
        <f t="shared" si="14"/>
        <v>-3383.9385280454144</v>
      </c>
      <c r="P92" s="255">
        <f t="shared" si="14"/>
        <v>-3408.2648836713474</v>
      </c>
      <c r="Q92" s="255">
        <f t="shared" si="14"/>
        <v>-3431.7352110930588</v>
      </c>
      <c r="R92" s="255">
        <f t="shared" si="14"/>
        <v>-3454.3403650399514</v>
      </c>
      <c r="S92" s="255">
        <f t="shared" si="14"/>
        <v>-3476.0710695060593</v>
      </c>
      <c r="T92" s="255">
        <f t="shared" si="14"/>
        <v>-3496.9179154055128</v>
      </c>
      <c r="U92" s="255">
        <f t="shared" si="14"/>
        <v>-3516.8713581773814</v>
      </c>
      <c r="V92" s="255">
        <f t="shared" si="14"/>
        <v>-3535.9217153386062</v>
      </c>
      <c r="W92" s="255">
        <f t="shared" si="14"/>
        <v>-3554.0591639836821</v>
      </c>
      <c r="X92" s="255">
        <f t="shared" si="14"/>
        <v>-3577.9675897541629</v>
      </c>
      <c r="Y92" s="255">
        <f t="shared" si="14"/>
        <v>-3600.8355425022096</v>
      </c>
      <c r="Z92" s="255">
        <f t="shared" si="14"/>
        <v>-3622.6515805006334</v>
      </c>
      <c r="AA92" s="255">
        <f t="shared" si="14"/>
        <v>-3643.4040936440124</v>
      </c>
      <c r="AB92" s="255">
        <f t="shared" si="14"/>
        <v>-3663.0813003399071</v>
      </c>
      <c r="AC92" s="268">
        <f t="shared" si="14"/>
        <v>-3681.6712443309411</v>
      </c>
      <c r="AD92" s="346">
        <f t="shared" si="5"/>
        <v>-77111.638146962534</v>
      </c>
    </row>
    <row r="93" spans="1:30" s="53" customFormat="1" ht="12">
      <c r="A93" s="44"/>
      <c r="B93" s="70"/>
      <c r="C93" s="62" t="s">
        <v>413</v>
      </c>
      <c r="D93" s="210"/>
      <c r="E93" s="217"/>
      <c r="F93" s="289">
        <f>F92</f>
        <v>0</v>
      </c>
      <c r="G93" s="289">
        <f t="shared" ref="G93:AC93" si="15">G92</f>
        <v>0</v>
      </c>
      <c r="H93" s="289">
        <f t="shared" si="15"/>
        <v>-3569.5158007036416</v>
      </c>
      <c r="I93" s="289">
        <f t="shared" si="15"/>
        <v>-3521.8317055335997</v>
      </c>
      <c r="J93" s="289">
        <f t="shared" si="15"/>
        <v>-3474.3117226083891</v>
      </c>
      <c r="K93" s="289">
        <f t="shared" si="15"/>
        <v>-3426.9575625583398</v>
      </c>
      <c r="L93" s="289">
        <f t="shared" si="15"/>
        <v>-3379.7709598710953</v>
      </c>
      <c r="M93" s="289">
        <f t="shared" si="15"/>
        <v>-3332.7536733089883</v>
      </c>
      <c r="N93" s="289">
        <f t="shared" si="15"/>
        <v>-3358.7651610456091</v>
      </c>
      <c r="O93" s="289">
        <f t="shared" si="15"/>
        <v>-3383.9385280454144</v>
      </c>
      <c r="P93" s="289">
        <f t="shared" si="15"/>
        <v>-3408.2648836713474</v>
      </c>
      <c r="Q93" s="289">
        <f t="shared" si="15"/>
        <v>-3431.7352110930588</v>
      </c>
      <c r="R93" s="289">
        <f t="shared" si="15"/>
        <v>-3454.3403650399514</v>
      </c>
      <c r="S93" s="289">
        <f t="shared" si="15"/>
        <v>-3476.0710695060593</v>
      </c>
      <c r="T93" s="289">
        <f t="shared" si="15"/>
        <v>-3496.9179154055128</v>
      </c>
      <c r="U93" s="289">
        <f t="shared" si="15"/>
        <v>-3516.8713581773814</v>
      </c>
      <c r="V93" s="289">
        <f t="shared" si="15"/>
        <v>-3535.9217153386062</v>
      </c>
      <c r="W93" s="289">
        <f t="shared" si="15"/>
        <v>-3554.0591639836821</v>
      </c>
      <c r="X93" s="289">
        <f t="shared" si="15"/>
        <v>-3577.9675897541629</v>
      </c>
      <c r="Y93" s="289">
        <f t="shared" si="15"/>
        <v>-3600.8355425022096</v>
      </c>
      <c r="Z93" s="289">
        <f t="shared" si="15"/>
        <v>-3622.6515805006334</v>
      </c>
      <c r="AA93" s="289">
        <f t="shared" si="15"/>
        <v>-3643.4040936440124</v>
      </c>
      <c r="AB93" s="289">
        <f t="shared" si="15"/>
        <v>-3663.0813003399071</v>
      </c>
      <c r="AC93" s="318">
        <f t="shared" si="15"/>
        <v>-3681.6712443309411</v>
      </c>
      <c r="AD93" s="347">
        <f t="shared" si="5"/>
        <v>-77111.638146962534</v>
      </c>
    </row>
    <row r="94" spans="1:30" s="53" customFormat="1" ht="12">
      <c r="A94" s="44"/>
      <c r="B94" s="70"/>
      <c r="C94" s="62"/>
      <c r="D94" s="210"/>
      <c r="E94" s="217"/>
      <c r="F94" s="45"/>
      <c r="G94" s="59"/>
      <c r="H94" s="59"/>
      <c r="I94" s="59"/>
      <c r="J94" s="59"/>
      <c r="K94" s="59"/>
      <c r="L94" s="59"/>
      <c r="M94" s="59"/>
      <c r="N94" s="59"/>
      <c r="O94" s="59"/>
      <c r="P94" s="59"/>
      <c r="Q94" s="59"/>
      <c r="R94" s="59"/>
      <c r="S94" s="59"/>
      <c r="T94" s="59"/>
      <c r="U94" s="59"/>
      <c r="V94" s="59"/>
      <c r="W94" s="59"/>
      <c r="X94" s="59"/>
      <c r="Y94" s="59"/>
      <c r="AC94" s="263"/>
      <c r="AD94" s="338"/>
    </row>
    <row r="95" spans="1:30" s="53" customFormat="1" ht="12">
      <c r="A95" s="44"/>
      <c r="B95" s="70"/>
      <c r="C95" s="63" t="s">
        <v>149</v>
      </c>
      <c r="D95" s="210"/>
      <c r="E95" s="217"/>
      <c r="F95" s="45"/>
      <c r="G95" s="59"/>
      <c r="H95" s="59"/>
      <c r="I95" s="59"/>
      <c r="J95" s="59"/>
      <c r="K95" s="59"/>
      <c r="L95" s="59"/>
      <c r="M95" s="59"/>
      <c r="N95" s="59"/>
      <c r="O95" s="59"/>
      <c r="P95" s="59"/>
      <c r="Q95" s="59"/>
      <c r="R95" s="59"/>
      <c r="S95" s="59"/>
      <c r="T95" s="59"/>
      <c r="U95" s="59"/>
      <c r="V95" s="59"/>
      <c r="W95" s="59"/>
      <c r="X95" s="59"/>
      <c r="Y95" s="59"/>
      <c r="AC95" s="263"/>
      <c r="AD95" s="338"/>
    </row>
    <row r="96" spans="1:30" s="53" customFormat="1" ht="12">
      <c r="A96" s="44"/>
      <c r="B96" s="70"/>
      <c r="C96" s="224" t="s">
        <v>430</v>
      </c>
      <c r="D96" s="253">
        <f>D69</f>
        <v>8.1905000000000001</v>
      </c>
      <c r="E96" s="217"/>
      <c r="F96" s="45"/>
      <c r="G96" s="59"/>
      <c r="H96" s="59"/>
      <c r="I96" s="59"/>
      <c r="J96" s="59"/>
      <c r="K96" s="59"/>
      <c r="L96" s="59"/>
      <c r="M96" s="59"/>
      <c r="N96" s="59"/>
      <c r="O96" s="59"/>
      <c r="P96" s="59"/>
      <c r="Q96" s="59"/>
      <c r="R96" s="59"/>
      <c r="S96" s="59"/>
      <c r="T96" s="59"/>
      <c r="U96" s="59"/>
      <c r="V96" s="59"/>
      <c r="W96" s="59"/>
      <c r="X96" s="59"/>
      <c r="Y96" s="59"/>
      <c r="AC96" s="263"/>
      <c r="AD96" s="338"/>
    </row>
    <row r="97" spans="1:30" s="53" customFormat="1" ht="12">
      <c r="A97" s="44"/>
      <c r="B97" s="70"/>
      <c r="C97" s="225" t="s">
        <v>386</v>
      </c>
      <c r="D97" s="253">
        <f t="shared" ref="D97" si="16">D70</f>
        <v>2.107407271835358</v>
      </c>
      <c r="E97" s="217"/>
      <c r="F97" s="45"/>
      <c r="G97" s="59"/>
      <c r="H97" s="59"/>
      <c r="I97" s="59"/>
      <c r="J97" s="59"/>
      <c r="K97" s="59"/>
      <c r="L97" s="59"/>
      <c r="M97" s="59"/>
      <c r="N97" s="59"/>
      <c r="O97" s="59"/>
      <c r="P97" s="59"/>
      <c r="Q97" s="59"/>
      <c r="R97" s="59"/>
      <c r="S97" s="59"/>
      <c r="T97" s="59"/>
      <c r="U97" s="59"/>
      <c r="V97" s="59"/>
      <c r="W97" s="59"/>
      <c r="X97" s="59"/>
      <c r="Y97" s="59"/>
      <c r="AC97" s="263"/>
      <c r="AD97" s="338"/>
    </row>
    <row r="98" spans="1:30" s="53" customFormat="1" ht="12">
      <c r="A98" s="44"/>
      <c r="B98" s="70"/>
      <c r="C98" s="225" t="s">
        <v>398</v>
      </c>
      <c r="D98" s="253">
        <v>0.1</v>
      </c>
      <c r="E98" s="217"/>
      <c r="F98" s="45"/>
      <c r="G98" s="59"/>
      <c r="H98" s="59"/>
      <c r="I98" s="59"/>
      <c r="J98" s="59"/>
      <c r="K98" s="59"/>
      <c r="L98" s="59"/>
      <c r="M98" s="59"/>
      <c r="N98" s="59"/>
      <c r="O98" s="59"/>
      <c r="P98" s="59"/>
      <c r="Q98" s="59"/>
      <c r="R98" s="59"/>
      <c r="S98" s="59"/>
      <c r="T98" s="59"/>
      <c r="U98" s="59"/>
      <c r="V98" s="59"/>
      <c r="W98" s="59"/>
      <c r="X98" s="59"/>
      <c r="Y98" s="59"/>
      <c r="AC98" s="263"/>
      <c r="AD98" s="338"/>
    </row>
    <row r="99" spans="1:30" s="53" customFormat="1" ht="12">
      <c r="A99" s="44"/>
      <c r="B99" s="70"/>
      <c r="C99" s="78" t="s">
        <v>425</v>
      </c>
      <c r="D99" s="253">
        <f>+D96-D97-D98</f>
        <v>5.9830927281646424</v>
      </c>
      <c r="E99" s="217"/>
      <c r="F99" s="233">
        <f t="shared" ref="F99:AC99" si="17">$D99*F83</f>
        <v>0</v>
      </c>
      <c r="G99" s="233">
        <f t="shared" si="17"/>
        <v>0</v>
      </c>
      <c r="H99" s="233">
        <f t="shared" si="17"/>
        <v>10221.168188645732</v>
      </c>
      <c r="I99" s="233">
        <f t="shared" si="17"/>
        <v>10149.530266078184</v>
      </c>
      <c r="J99" s="233">
        <f t="shared" si="17"/>
        <v>10077.892343510635</v>
      </c>
      <c r="K99" s="233">
        <f t="shared" si="17"/>
        <v>10006.254420943089</v>
      </c>
      <c r="L99" s="233">
        <f t="shared" si="17"/>
        <v>9934.6164983755389</v>
      </c>
      <c r="M99" s="233">
        <f t="shared" si="17"/>
        <v>9862.9785758079888</v>
      </c>
      <c r="N99" s="233">
        <f t="shared" si="17"/>
        <v>10008.441808784029</v>
      </c>
      <c r="O99" s="233">
        <f t="shared" si="17"/>
        <v>10153.905041760065</v>
      </c>
      <c r="P99" s="233">
        <f t="shared" si="17"/>
        <v>10299.368274736104</v>
      </c>
      <c r="Q99" s="233">
        <f t="shared" si="17"/>
        <v>10444.831507712144</v>
      </c>
      <c r="R99" s="233">
        <f t="shared" si="17"/>
        <v>10590.294740688179</v>
      </c>
      <c r="S99" s="233">
        <f t="shared" si="17"/>
        <v>10735.757973664218</v>
      </c>
      <c r="T99" s="233">
        <f t="shared" si="17"/>
        <v>10881.221206640255</v>
      </c>
      <c r="U99" s="233">
        <f t="shared" si="17"/>
        <v>11026.684439616298</v>
      </c>
      <c r="V99" s="233">
        <f t="shared" si="17"/>
        <v>11172.147672592335</v>
      </c>
      <c r="W99" s="233">
        <f t="shared" si="17"/>
        <v>11317.610905568374</v>
      </c>
      <c r="X99" s="233">
        <f t="shared" si="17"/>
        <v>11484.560062593095</v>
      </c>
      <c r="Y99" s="233">
        <f t="shared" si="17"/>
        <v>11651.509219617821</v>
      </c>
      <c r="Z99" s="233">
        <f t="shared" si="17"/>
        <v>11818.458376642542</v>
      </c>
      <c r="AA99" s="233">
        <f t="shared" si="17"/>
        <v>11985.407533667269</v>
      </c>
      <c r="AB99" s="233">
        <f t="shared" si="17"/>
        <v>12152.356690691991</v>
      </c>
      <c r="AC99" s="266">
        <f t="shared" si="17"/>
        <v>12319.305847716716</v>
      </c>
      <c r="AD99" s="348">
        <f t="shared" si="5"/>
        <v>238294.3015960526</v>
      </c>
    </row>
    <row r="100" spans="1:30" s="53" customFormat="1" ht="12">
      <c r="A100" s="44"/>
      <c r="C100" s="62" t="s">
        <v>414</v>
      </c>
      <c r="D100" s="210"/>
      <c r="E100" s="217"/>
      <c r="F100" s="233">
        <f>F99</f>
        <v>0</v>
      </c>
      <c r="G100" s="233">
        <f t="shared" ref="G100:AC100" si="18">G99</f>
        <v>0</v>
      </c>
      <c r="H100" s="233">
        <f t="shared" si="18"/>
        <v>10221.168188645732</v>
      </c>
      <c r="I100" s="233">
        <f t="shared" si="18"/>
        <v>10149.530266078184</v>
      </c>
      <c r="J100" s="233">
        <f t="shared" si="18"/>
        <v>10077.892343510635</v>
      </c>
      <c r="K100" s="233">
        <f t="shared" si="18"/>
        <v>10006.254420943089</v>
      </c>
      <c r="L100" s="233">
        <f t="shared" si="18"/>
        <v>9934.6164983755389</v>
      </c>
      <c r="M100" s="233">
        <f t="shared" si="18"/>
        <v>9862.9785758079888</v>
      </c>
      <c r="N100" s="233">
        <f t="shared" si="18"/>
        <v>10008.441808784029</v>
      </c>
      <c r="O100" s="233">
        <f t="shared" si="18"/>
        <v>10153.905041760065</v>
      </c>
      <c r="P100" s="233">
        <f t="shared" si="18"/>
        <v>10299.368274736104</v>
      </c>
      <c r="Q100" s="233">
        <f t="shared" si="18"/>
        <v>10444.831507712144</v>
      </c>
      <c r="R100" s="233">
        <f t="shared" si="18"/>
        <v>10590.294740688179</v>
      </c>
      <c r="S100" s="233">
        <f t="shared" si="18"/>
        <v>10735.757973664218</v>
      </c>
      <c r="T100" s="233">
        <f t="shared" si="18"/>
        <v>10881.221206640255</v>
      </c>
      <c r="U100" s="233">
        <f t="shared" si="18"/>
        <v>11026.684439616298</v>
      </c>
      <c r="V100" s="233">
        <f t="shared" si="18"/>
        <v>11172.147672592335</v>
      </c>
      <c r="W100" s="233">
        <f t="shared" si="18"/>
        <v>11317.610905568374</v>
      </c>
      <c r="X100" s="233">
        <f t="shared" si="18"/>
        <v>11484.560062593095</v>
      </c>
      <c r="Y100" s="233">
        <f t="shared" si="18"/>
        <v>11651.509219617821</v>
      </c>
      <c r="Z100" s="233">
        <f t="shared" si="18"/>
        <v>11818.458376642542</v>
      </c>
      <c r="AA100" s="233">
        <f t="shared" si="18"/>
        <v>11985.407533667269</v>
      </c>
      <c r="AB100" s="233">
        <f t="shared" si="18"/>
        <v>12152.356690691991</v>
      </c>
      <c r="AC100" s="266">
        <f t="shared" si="18"/>
        <v>12319.305847716716</v>
      </c>
      <c r="AD100" s="348">
        <f t="shared" si="5"/>
        <v>238294.3015960526</v>
      </c>
    </row>
    <row r="101" spans="1:30" s="53" customFormat="1" ht="12">
      <c r="A101" s="44"/>
      <c r="B101" s="70"/>
      <c r="D101" s="210"/>
      <c r="E101" s="217"/>
      <c r="F101" s="45"/>
      <c r="G101" s="59"/>
      <c r="H101" s="59"/>
      <c r="I101" s="59"/>
      <c r="J101" s="59"/>
      <c r="K101" s="59"/>
      <c r="L101" s="59"/>
      <c r="M101" s="59"/>
      <c r="N101" s="59"/>
      <c r="O101" s="59"/>
      <c r="P101" s="59"/>
      <c r="Q101" s="59"/>
      <c r="R101" s="59"/>
      <c r="S101" s="59"/>
      <c r="T101" s="59"/>
      <c r="U101" s="59"/>
      <c r="V101" s="59"/>
      <c r="W101" s="59"/>
      <c r="X101" s="59"/>
      <c r="Y101" s="59"/>
      <c r="AC101" s="263"/>
      <c r="AD101" s="338"/>
    </row>
    <row r="102" spans="1:30" s="53" customFormat="1" ht="12">
      <c r="A102" s="44"/>
      <c r="B102" s="5" t="s">
        <v>397</v>
      </c>
      <c r="D102" s="210"/>
      <c r="E102" s="217"/>
      <c r="F102" s="59"/>
      <c r="G102" s="59"/>
      <c r="H102" s="59"/>
      <c r="I102" s="59"/>
      <c r="J102" s="59"/>
      <c r="K102" s="59"/>
      <c r="L102" s="59"/>
      <c r="M102" s="59"/>
      <c r="N102" s="59"/>
      <c r="O102" s="59"/>
      <c r="P102" s="59"/>
      <c r="Q102" s="59"/>
      <c r="R102" s="59"/>
      <c r="S102" s="59"/>
      <c r="T102" s="59"/>
      <c r="U102" s="59"/>
      <c r="V102" s="59"/>
      <c r="W102" s="59"/>
      <c r="X102" s="59"/>
      <c r="Y102" s="59"/>
      <c r="AC102" s="263"/>
      <c r="AD102" s="338"/>
    </row>
    <row r="103" spans="1:30" s="53" customFormat="1" ht="12">
      <c r="A103" s="44"/>
      <c r="B103" s="70" t="s">
        <v>447</v>
      </c>
      <c r="C103" s="47" t="s">
        <v>95</v>
      </c>
      <c r="D103" s="210"/>
      <c r="E103" s="217"/>
      <c r="F103" s="59">
        <f>F20</f>
        <v>0</v>
      </c>
      <c r="G103" s="59">
        <f t="shared" ref="G103:AC103" si="19">G20</f>
        <v>18250</v>
      </c>
      <c r="H103" s="59">
        <f t="shared" si="19"/>
        <v>18432.5</v>
      </c>
      <c r="I103" s="59">
        <f t="shared" si="19"/>
        <v>18616.825000000001</v>
      </c>
      <c r="J103" s="59">
        <f t="shared" si="19"/>
        <v>18802.993250000003</v>
      </c>
      <c r="K103" s="59">
        <f t="shared" si="19"/>
        <v>18991.023182500001</v>
      </c>
      <c r="L103" s="59">
        <f t="shared" si="19"/>
        <v>19180.933414324998</v>
      </c>
      <c r="M103" s="59">
        <f t="shared" si="19"/>
        <v>19372.742748468252</v>
      </c>
      <c r="N103" s="59">
        <f t="shared" si="19"/>
        <v>19566.470175952938</v>
      </c>
      <c r="O103" s="59">
        <f t="shared" si="19"/>
        <v>19762.134877712466</v>
      </c>
      <c r="P103" s="59">
        <f t="shared" si="19"/>
        <v>19959.75622648959</v>
      </c>
      <c r="Q103" s="59">
        <f t="shared" si="19"/>
        <v>20159.353788754484</v>
      </c>
      <c r="R103" s="59">
        <f t="shared" si="19"/>
        <v>20360.947326642028</v>
      </c>
      <c r="S103" s="59">
        <f t="shared" si="19"/>
        <v>20564.556799908452</v>
      </c>
      <c r="T103" s="59">
        <f t="shared" si="19"/>
        <v>20770.202367907536</v>
      </c>
      <c r="U103" s="59">
        <f t="shared" si="19"/>
        <v>20977.90439158661</v>
      </c>
      <c r="V103" s="59">
        <f t="shared" si="19"/>
        <v>21187.683435502477</v>
      </c>
      <c r="W103" s="59">
        <f t="shared" si="19"/>
        <v>21399.560269857502</v>
      </c>
      <c r="X103" s="59">
        <f t="shared" si="19"/>
        <v>21613.555872556077</v>
      </c>
      <c r="Y103" s="59">
        <f t="shared" si="19"/>
        <v>21829.691431281637</v>
      </c>
      <c r="Z103" s="59">
        <f t="shared" si="19"/>
        <v>22047.988345594455</v>
      </c>
      <c r="AA103" s="59">
        <f t="shared" si="19"/>
        <v>22268.468229050399</v>
      </c>
      <c r="AB103" s="59">
        <f t="shared" si="19"/>
        <v>22491.152911340905</v>
      </c>
      <c r="AC103" s="264">
        <f t="shared" si="19"/>
        <v>22716.064440454316</v>
      </c>
      <c r="AD103" s="339">
        <f t="shared" si="5"/>
        <v>469322.50848588505</v>
      </c>
    </row>
    <row r="104" spans="1:30" s="53" customFormat="1" ht="12">
      <c r="A104" s="44"/>
      <c r="B104" s="70"/>
      <c r="C104" s="47" t="s">
        <v>96</v>
      </c>
      <c r="D104" s="210"/>
      <c r="E104" s="217"/>
      <c r="F104" s="59">
        <f t="shared" ref="F104:AC106" si="20">F21</f>
        <v>0</v>
      </c>
      <c r="G104" s="59">
        <f t="shared" si="20"/>
        <v>27375</v>
      </c>
      <c r="H104" s="59">
        <f t="shared" si="20"/>
        <v>27648.75</v>
      </c>
      <c r="I104" s="59">
        <f t="shared" si="20"/>
        <v>27925.237499999999</v>
      </c>
      <c r="J104" s="59">
        <f t="shared" si="20"/>
        <v>28204.489875000003</v>
      </c>
      <c r="K104" s="59">
        <f t="shared" si="20"/>
        <v>28486.534773749998</v>
      </c>
      <c r="L104" s="59">
        <f t="shared" si="20"/>
        <v>28771.400121487499</v>
      </c>
      <c r="M104" s="59">
        <f t="shared" si="20"/>
        <v>29059.11412270238</v>
      </c>
      <c r="N104" s="59">
        <f t="shared" si="20"/>
        <v>29349.705263929402</v>
      </c>
      <c r="O104" s="59">
        <f t="shared" si="20"/>
        <v>29643.202316568691</v>
      </c>
      <c r="P104" s="59">
        <f t="shared" si="20"/>
        <v>29939.634339734381</v>
      </c>
      <c r="Q104" s="59">
        <f t="shared" si="20"/>
        <v>30239.030683131725</v>
      </c>
      <c r="R104" s="59">
        <f t="shared" si="20"/>
        <v>30541.42098996304</v>
      </c>
      <c r="S104" s="59">
        <f t="shared" si="20"/>
        <v>30846.835199862675</v>
      </c>
      <c r="T104" s="59">
        <f t="shared" si="20"/>
        <v>31155.303551861296</v>
      </c>
      <c r="U104" s="59">
        <f t="shared" si="20"/>
        <v>31466.856587379913</v>
      </c>
      <c r="V104" s="59">
        <f t="shared" si="20"/>
        <v>31781.525153253715</v>
      </c>
      <c r="W104" s="59">
        <f t="shared" si="20"/>
        <v>32099.34040478625</v>
      </c>
      <c r="X104" s="59">
        <f t="shared" si="20"/>
        <v>32420.333808834112</v>
      </c>
      <c r="Y104" s="59">
        <f t="shared" si="20"/>
        <v>32744.537146922448</v>
      </c>
      <c r="Z104" s="59">
        <f t="shared" si="20"/>
        <v>33071.982518391676</v>
      </c>
      <c r="AA104" s="59">
        <f t="shared" si="20"/>
        <v>33402.702343575598</v>
      </c>
      <c r="AB104" s="59">
        <f t="shared" si="20"/>
        <v>33736.729367011358</v>
      </c>
      <c r="AC104" s="264">
        <f t="shared" si="20"/>
        <v>34074.096660681469</v>
      </c>
      <c r="AD104" s="339">
        <f t="shared" si="5"/>
        <v>703983.76272882754</v>
      </c>
    </row>
    <row r="105" spans="1:30" s="53" customFormat="1" ht="12">
      <c r="A105" s="44"/>
      <c r="B105" s="70"/>
      <c r="C105" s="47" t="s">
        <v>148</v>
      </c>
      <c r="D105" s="210"/>
      <c r="E105" s="217"/>
      <c r="F105" s="59">
        <f t="shared" si="20"/>
        <v>0</v>
      </c>
      <c r="G105" s="59">
        <f t="shared" si="20"/>
        <v>27375</v>
      </c>
      <c r="H105" s="59">
        <f t="shared" si="20"/>
        <v>27648.75</v>
      </c>
      <c r="I105" s="59">
        <f t="shared" si="20"/>
        <v>27925.237499999999</v>
      </c>
      <c r="J105" s="59">
        <f t="shared" si="20"/>
        <v>28204.489875000003</v>
      </c>
      <c r="K105" s="59">
        <f t="shared" si="20"/>
        <v>28486.534773749998</v>
      </c>
      <c r="L105" s="59">
        <f t="shared" si="20"/>
        <v>28771.400121487499</v>
      </c>
      <c r="M105" s="59">
        <f t="shared" si="20"/>
        <v>29059.11412270238</v>
      </c>
      <c r="N105" s="59">
        <f t="shared" si="20"/>
        <v>29349.705263929402</v>
      </c>
      <c r="O105" s="59">
        <f t="shared" si="20"/>
        <v>29643.202316568691</v>
      </c>
      <c r="P105" s="59">
        <f t="shared" si="20"/>
        <v>29939.634339734381</v>
      </c>
      <c r="Q105" s="59">
        <f t="shared" si="20"/>
        <v>30239.030683131725</v>
      </c>
      <c r="R105" s="59">
        <f t="shared" si="20"/>
        <v>30541.42098996304</v>
      </c>
      <c r="S105" s="59">
        <f t="shared" si="20"/>
        <v>30846.835199862675</v>
      </c>
      <c r="T105" s="59">
        <f t="shared" si="20"/>
        <v>31155.303551861296</v>
      </c>
      <c r="U105" s="59">
        <f t="shared" si="20"/>
        <v>31466.856587379913</v>
      </c>
      <c r="V105" s="59">
        <f t="shared" si="20"/>
        <v>31781.525153253715</v>
      </c>
      <c r="W105" s="59">
        <f t="shared" si="20"/>
        <v>32099.34040478625</v>
      </c>
      <c r="X105" s="59">
        <f t="shared" si="20"/>
        <v>32420.333808834112</v>
      </c>
      <c r="Y105" s="59">
        <f t="shared" si="20"/>
        <v>32744.537146922448</v>
      </c>
      <c r="Z105" s="59">
        <f t="shared" si="20"/>
        <v>33071.982518391676</v>
      </c>
      <c r="AA105" s="59">
        <f t="shared" si="20"/>
        <v>33402.702343575598</v>
      </c>
      <c r="AB105" s="59">
        <f t="shared" si="20"/>
        <v>33736.729367011358</v>
      </c>
      <c r="AC105" s="264">
        <f t="shared" si="20"/>
        <v>34074.096660681469</v>
      </c>
      <c r="AD105" s="339">
        <f t="shared" si="5"/>
        <v>703983.76272882754</v>
      </c>
    </row>
    <row r="106" spans="1:30" s="53" customFormat="1" ht="12">
      <c r="A106" s="44"/>
      <c r="B106" s="70"/>
      <c r="C106" s="78" t="s">
        <v>421</v>
      </c>
      <c r="D106" s="210"/>
      <c r="E106" s="217"/>
      <c r="F106" s="59">
        <f t="shared" si="20"/>
        <v>0</v>
      </c>
      <c r="G106" s="59">
        <f t="shared" si="20"/>
        <v>18250</v>
      </c>
      <c r="H106" s="59">
        <f t="shared" si="20"/>
        <v>18432.5</v>
      </c>
      <c r="I106" s="59">
        <f t="shared" si="20"/>
        <v>18616.825000000001</v>
      </c>
      <c r="J106" s="59">
        <f t="shared" si="20"/>
        <v>18802.993250000003</v>
      </c>
      <c r="K106" s="59">
        <f t="shared" si="20"/>
        <v>18991.023182500001</v>
      </c>
      <c r="L106" s="59">
        <f t="shared" si="20"/>
        <v>19180.933414324998</v>
      </c>
      <c r="M106" s="59">
        <f t="shared" si="20"/>
        <v>19372.742748468252</v>
      </c>
      <c r="N106" s="59">
        <f t="shared" si="20"/>
        <v>19566.470175952938</v>
      </c>
      <c r="O106" s="59">
        <f t="shared" si="20"/>
        <v>19762.134877712466</v>
      </c>
      <c r="P106" s="59">
        <f t="shared" si="20"/>
        <v>19959.75622648959</v>
      </c>
      <c r="Q106" s="59">
        <f t="shared" si="20"/>
        <v>20159.353788754484</v>
      </c>
      <c r="R106" s="59">
        <f t="shared" si="20"/>
        <v>20360.947326642028</v>
      </c>
      <c r="S106" s="59">
        <f t="shared" si="20"/>
        <v>20564.556799908452</v>
      </c>
      <c r="T106" s="59">
        <f t="shared" si="20"/>
        <v>20770.202367907536</v>
      </c>
      <c r="U106" s="59">
        <f t="shared" si="20"/>
        <v>20977.90439158661</v>
      </c>
      <c r="V106" s="59">
        <f t="shared" si="20"/>
        <v>21187.683435502477</v>
      </c>
      <c r="W106" s="59">
        <f t="shared" si="20"/>
        <v>21399.560269857502</v>
      </c>
      <c r="X106" s="59">
        <f t="shared" si="20"/>
        <v>21613.555872556077</v>
      </c>
      <c r="Y106" s="59">
        <f t="shared" si="20"/>
        <v>21829.691431281637</v>
      </c>
      <c r="Z106" s="59">
        <f t="shared" si="20"/>
        <v>22047.988345594455</v>
      </c>
      <c r="AA106" s="59">
        <f t="shared" si="20"/>
        <v>22268.468229050399</v>
      </c>
      <c r="AB106" s="59">
        <f t="shared" si="20"/>
        <v>22491.152911340905</v>
      </c>
      <c r="AC106" s="264">
        <f t="shared" si="20"/>
        <v>22716.064440454316</v>
      </c>
      <c r="AD106" s="339">
        <f t="shared" si="5"/>
        <v>469322.50848588505</v>
      </c>
    </row>
    <row r="107" spans="1:30" s="53" customFormat="1" ht="12">
      <c r="A107" s="44"/>
      <c r="B107" s="70" t="s">
        <v>446</v>
      </c>
      <c r="C107" s="78" t="s">
        <v>426</v>
      </c>
      <c r="D107" s="210"/>
      <c r="E107" s="217"/>
      <c r="F107" s="59">
        <f t="shared" ref="F107:AC107" si="21">F25</f>
        <v>0</v>
      </c>
      <c r="G107" s="59">
        <f t="shared" si="21"/>
        <v>36500</v>
      </c>
      <c r="H107" s="59">
        <f t="shared" si="21"/>
        <v>36865</v>
      </c>
      <c r="I107" s="59">
        <f t="shared" si="21"/>
        <v>37233.65</v>
      </c>
      <c r="J107" s="59">
        <f t="shared" si="21"/>
        <v>37605.986500000006</v>
      </c>
      <c r="K107" s="59">
        <f t="shared" si="21"/>
        <v>37982.046365000002</v>
      </c>
      <c r="L107" s="59">
        <f t="shared" si="21"/>
        <v>38361.866828649996</v>
      </c>
      <c r="M107" s="59">
        <f t="shared" si="21"/>
        <v>38745.485496936504</v>
      </c>
      <c r="N107" s="59">
        <f t="shared" si="21"/>
        <v>39132.940351905876</v>
      </c>
      <c r="O107" s="59">
        <f t="shared" si="21"/>
        <v>39524.269755424932</v>
      </c>
      <c r="P107" s="59">
        <f t="shared" si="21"/>
        <v>39919.512452979179</v>
      </c>
      <c r="Q107" s="59">
        <f t="shared" si="21"/>
        <v>40318.707577508969</v>
      </c>
      <c r="R107" s="59">
        <f t="shared" si="21"/>
        <v>40721.894653284056</v>
      </c>
      <c r="S107" s="59">
        <f t="shared" si="21"/>
        <v>41129.113599816905</v>
      </c>
      <c r="T107" s="59">
        <f t="shared" si="21"/>
        <v>41540.404735815071</v>
      </c>
      <c r="U107" s="59">
        <f t="shared" si="21"/>
        <v>41955.808783173219</v>
      </c>
      <c r="V107" s="59">
        <f t="shared" si="21"/>
        <v>42375.366871004953</v>
      </c>
      <c r="W107" s="59">
        <f t="shared" si="21"/>
        <v>42799.120539715004</v>
      </c>
      <c r="X107" s="59">
        <f t="shared" si="21"/>
        <v>43227.111745112154</v>
      </c>
      <c r="Y107" s="59">
        <f t="shared" si="21"/>
        <v>43659.382862563274</v>
      </c>
      <c r="Z107" s="59">
        <f t="shared" si="21"/>
        <v>44095.976691188909</v>
      </c>
      <c r="AA107" s="59">
        <f t="shared" si="21"/>
        <v>44536.936458100798</v>
      </c>
      <c r="AB107" s="59">
        <f t="shared" si="21"/>
        <v>44982.30582268181</v>
      </c>
      <c r="AC107" s="264">
        <f t="shared" si="21"/>
        <v>45432.128880908633</v>
      </c>
      <c r="AD107" s="339">
        <f t="shared" si="5"/>
        <v>938645.01697177009</v>
      </c>
    </row>
    <row r="108" spans="1:30" s="53" customFormat="1" ht="12">
      <c r="A108" s="44"/>
      <c r="B108" s="70"/>
      <c r="C108" s="78"/>
      <c r="D108" s="210"/>
      <c r="E108" s="217"/>
      <c r="F108" s="59"/>
      <c r="G108" s="59"/>
      <c r="H108" s="59"/>
      <c r="I108" s="59"/>
      <c r="J108" s="59"/>
      <c r="K108" s="59"/>
      <c r="L108" s="59"/>
      <c r="M108" s="59"/>
      <c r="N108" s="59"/>
      <c r="O108" s="59"/>
      <c r="P108" s="59"/>
      <c r="Q108" s="59"/>
      <c r="R108" s="59"/>
      <c r="S108" s="59"/>
      <c r="T108" s="59"/>
      <c r="U108" s="59"/>
      <c r="V108" s="59"/>
      <c r="W108" s="59"/>
      <c r="X108" s="59"/>
      <c r="Y108" s="59"/>
      <c r="AC108" s="263"/>
      <c r="AD108" s="338"/>
    </row>
    <row r="109" spans="1:30" s="53" customFormat="1" ht="12">
      <c r="A109" s="44"/>
      <c r="B109" s="70" t="s">
        <v>399</v>
      </c>
      <c r="C109" s="63" t="s">
        <v>131</v>
      </c>
      <c r="D109" s="210"/>
      <c r="E109" s="217"/>
      <c r="F109" s="293"/>
      <c r="G109" s="293"/>
      <c r="H109" s="293"/>
      <c r="I109" s="293"/>
      <c r="J109" s="293"/>
      <c r="K109" s="293"/>
      <c r="L109" s="293"/>
      <c r="M109" s="293"/>
      <c r="N109" s="293"/>
      <c r="O109" s="293"/>
      <c r="P109" s="293"/>
      <c r="Q109" s="293"/>
      <c r="R109" s="293"/>
      <c r="S109" s="293"/>
      <c r="T109" s="293"/>
      <c r="U109" s="293"/>
      <c r="V109" s="293"/>
      <c r="W109" s="293"/>
      <c r="X109" s="293"/>
      <c r="Y109" s="293"/>
      <c r="Z109" s="45"/>
      <c r="AA109" s="45"/>
      <c r="AB109" s="45"/>
      <c r="AC109" s="263"/>
      <c r="AD109" s="338"/>
    </row>
    <row r="110" spans="1:30" s="53" customFormat="1" ht="12">
      <c r="A110" s="44"/>
      <c r="B110" s="70" t="s">
        <v>447</v>
      </c>
      <c r="C110" s="224" t="s">
        <v>454</v>
      </c>
      <c r="D110" s="209"/>
      <c r="E110" s="217"/>
      <c r="F110" s="300">
        <f>'Mode Operating Assumptions'!D20</f>
        <v>0.16806077048797802</v>
      </c>
      <c r="G110" s="300">
        <f>'Mode Operating Assumptions'!E20</f>
        <v>0.16835112174317465</v>
      </c>
      <c r="H110" s="300">
        <f>'Mode Operating Assumptions'!F20</f>
        <v>0.16864346984254222</v>
      </c>
      <c r="I110" s="300">
        <f>'Mode Operating Assumptions'!G20</f>
        <v>0.168937835456623</v>
      </c>
      <c r="J110" s="300">
        <f>'Mode Operating Assumptions'!H20</f>
        <v>0.16923423954224476</v>
      </c>
      <c r="K110" s="300">
        <f>'Mode Operating Assumptions'!I20</f>
        <v>0.16953270334749443</v>
      </c>
      <c r="L110" s="300">
        <f>'Mode Operating Assumptions'!J20</f>
        <v>0.16983324841679548</v>
      </c>
      <c r="M110" s="300">
        <f>'Mode Operating Assumptions'!K20</f>
        <v>0.1701358965960923</v>
      </c>
      <c r="N110" s="300">
        <f>'Mode Operating Assumptions'!L20</f>
        <v>0.17044067003814328</v>
      </c>
      <c r="O110" s="300">
        <f>'Mode Operating Assumptions'!M20</f>
        <v>0.17074759120792632</v>
      </c>
      <c r="P110" s="300">
        <f>'Mode Operating Assumptions'!N20</f>
        <v>0.17105668288815862</v>
      </c>
      <c r="Q110" s="300">
        <f>'Mode Operating Assumptions'!O20</f>
        <v>0.17136796818493436</v>
      </c>
      <c r="R110" s="300">
        <f>'Mode Operating Assumptions'!P20</f>
        <v>0.17168147053348229</v>
      </c>
      <c r="S110" s="300">
        <f>'Mode Operating Assumptions'!Q20</f>
        <v>0.17199721370404747</v>
      </c>
      <c r="T110" s="300">
        <f>'Mode Operating Assumptions'!R20</f>
        <v>0.17231522180789902</v>
      </c>
      <c r="U110" s="300">
        <f>'Mode Operating Assumptions'!S20</f>
        <v>0.17263551930346793</v>
      </c>
      <c r="V110" s="300">
        <f>'Mode Operating Assumptions'!T20</f>
        <v>0.17295813100261781</v>
      </c>
      <c r="W110" s="300">
        <f>'Mode Operating Assumptions'!U20</f>
        <v>0.17328308207705193</v>
      </c>
      <c r="X110" s="300">
        <f>'Mode Operating Assumptions'!V20</f>
        <v>0.17361039806486056</v>
      </c>
      <c r="Y110" s="300">
        <f>'Mode Operating Assumptions'!W20</f>
        <v>0.17394010487721123</v>
      </c>
      <c r="Z110" s="300">
        <f>'Mode Operating Assumptions'!X20</f>
        <v>0.17427222880518653</v>
      </c>
      <c r="AA110" s="300">
        <f>'Mode Operating Assumptions'!Y20</f>
        <v>0.17460679652677269</v>
      </c>
      <c r="AB110" s="300">
        <f>'Mode Operating Assumptions'!Z20</f>
        <v>0.17494383511400308</v>
      </c>
      <c r="AC110" s="302">
        <f>'Mode Operating Assumptions'!AA20</f>
        <v>0.1752833720402604</v>
      </c>
      <c r="AD110" s="350">
        <f t="shared" si="5"/>
        <v>4.1178695716089688</v>
      </c>
    </row>
    <row r="111" spans="1:30">
      <c r="C111" s="224" t="s">
        <v>496</v>
      </c>
      <c r="D111" s="248">
        <f>'Mode Operating Assumptions'!C142</f>
        <v>0.20730027548209368</v>
      </c>
      <c r="E111" s="217"/>
      <c r="G111" s="294"/>
      <c r="H111" s="25"/>
      <c r="I111" s="25"/>
      <c r="J111" s="25"/>
      <c r="K111" s="25"/>
      <c r="L111" s="25"/>
      <c r="M111" s="25"/>
      <c r="N111" s="25"/>
      <c r="O111" s="25"/>
      <c r="P111" s="25"/>
      <c r="Q111" s="25"/>
      <c r="R111" s="25"/>
      <c r="S111" s="25"/>
      <c r="T111" s="25"/>
      <c r="U111" s="25"/>
      <c r="V111" s="25"/>
      <c r="W111" s="25"/>
      <c r="X111" s="25"/>
      <c r="Y111" s="25"/>
      <c r="Z111" s="25"/>
      <c r="AA111" s="25"/>
      <c r="AB111" s="25"/>
      <c r="AC111" s="261"/>
    </row>
    <row r="112" spans="1:30" s="53" customFormat="1" ht="12">
      <c r="A112" s="44"/>
      <c r="B112" s="70"/>
      <c r="C112" s="224" t="s">
        <v>445</v>
      </c>
      <c r="D112" s="248">
        <f>D60</f>
        <v>0.234375</v>
      </c>
      <c r="E112" s="217"/>
      <c r="F112" s="293"/>
      <c r="G112" s="293"/>
      <c r="H112" s="293"/>
      <c r="I112" s="293"/>
      <c r="J112" s="293"/>
      <c r="K112" s="293"/>
      <c r="L112" s="293"/>
      <c r="M112" s="293"/>
      <c r="N112" s="293"/>
      <c r="O112" s="293"/>
      <c r="P112" s="293"/>
      <c r="Q112" s="293"/>
      <c r="R112" s="293"/>
      <c r="S112" s="293"/>
      <c r="T112" s="293"/>
      <c r="U112" s="293"/>
      <c r="V112" s="293"/>
      <c r="W112" s="293"/>
      <c r="X112" s="293"/>
      <c r="Y112" s="293"/>
      <c r="Z112" s="45"/>
      <c r="AA112" s="45"/>
      <c r="AB112" s="45"/>
      <c r="AC112" s="263"/>
      <c r="AD112" s="338"/>
    </row>
    <row r="113" spans="1:30" s="53" customFormat="1" ht="12">
      <c r="A113" s="44"/>
      <c r="B113" s="70"/>
      <c r="C113" s="224" t="s">
        <v>405</v>
      </c>
      <c r="D113" s="248">
        <f>'Mode Operating Assumptions'!C52</f>
        <v>0.234375</v>
      </c>
      <c r="E113" s="217"/>
      <c r="F113" s="293"/>
      <c r="G113" s="293"/>
      <c r="H113" s="293"/>
      <c r="I113" s="293"/>
      <c r="J113" s="293"/>
      <c r="K113" s="293"/>
      <c r="L113" s="293"/>
      <c r="M113" s="293"/>
      <c r="N113" s="293"/>
      <c r="O113" s="293"/>
      <c r="P113" s="293"/>
      <c r="Q113" s="293"/>
      <c r="R113" s="293"/>
      <c r="S113" s="293"/>
      <c r="T113" s="293"/>
      <c r="U113" s="293"/>
      <c r="V113" s="293"/>
      <c r="W113" s="293"/>
      <c r="X113" s="293"/>
      <c r="Y113" s="293"/>
      <c r="Z113" s="45"/>
      <c r="AA113" s="45"/>
      <c r="AB113" s="45"/>
      <c r="AC113" s="263"/>
      <c r="AD113" s="338"/>
    </row>
    <row r="114" spans="1:30" s="53" customFormat="1" ht="12">
      <c r="A114" s="44"/>
      <c r="C114" s="224" t="s">
        <v>384</v>
      </c>
      <c r="D114" s="253">
        <f>'Mode Operating Assumptions'!C21</f>
        <v>12.5</v>
      </c>
      <c r="E114" s="217"/>
      <c r="F114" s="293"/>
      <c r="G114" s="293"/>
      <c r="H114" s="293"/>
      <c r="I114" s="293"/>
      <c r="J114" s="293"/>
      <c r="K114" s="293"/>
      <c r="L114" s="293"/>
      <c r="M114" s="293"/>
      <c r="N114" s="293"/>
      <c r="O114" s="293"/>
      <c r="P114" s="293"/>
      <c r="Q114" s="293"/>
      <c r="R114" s="293"/>
      <c r="S114" s="293"/>
      <c r="T114" s="293"/>
      <c r="U114" s="293"/>
      <c r="V114" s="293"/>
      <c r="W114" s="293"/>
      <c r="X114" s="293"/>
      <c r="Y114" s="293"/>
      <c r="Z114" s="45"/>
      <c r="AA114" s="45"/>
      <c r="AB114" s="45"/>
      <c r="AC114" s="263"/>
      <c r="AD114" s="338"/>
    </row>
    <row r="115" spans="1:30" s="53" customFormat="1" ht="12">
      <c r="A115" s="44"/>
      <c r="B115" s="70"/>
      <c r="C115" s="224" t="s">
        <v>385</v>
      </c>
      <c r="D115" s="253">
        <f>'Mode Operating Assumptions'!C143</f>
        <v>12.5</v>
      </c>
      <c r="E115" s="217"/>
      <c r="F115" s="293"/>
      <c r="G115" s="293"/>
      <c r="H115" s="293"/>
      <c r="I115" s="293"/>
      <c r="J115" s="293"/>
      <c r="K115" s="293"/>
      <c r="L115" s="293"/>
      <c r="M115" s="293"/>
      <c r="N115" s="293"/>
      <c r="O115" s="293"/>
      <c r="P115" s="293"/>
      <c r="Q115" s="293"/>
      <c r="R115" s="293"/>
      <c r="S115" s="293"/>
      <c r="T115" s="293"/>
      <c r="U115" s="293"/>
      <c r="V115" s="293"/>
      <c r="W115" s="293"/>
      <c r="X115" s="293"/>
      <c r="Y115" s="293"/>
      <c r="Z115" s="45"/>
      <c r="AA115" s="45"/>
      <c r="AB115" s="45"/>
      <c r="AC115" s="263"/>
      <c r="AD115" s="338"/>
    </row>
    <row r="116" spans="1:30" s="53" customFormat="1" ht="12">
      <c r="A116" s="44"/>
      <c r="B116" s="70"/>
      <c r="C116" s="224" t="s">
        <v>403</v>
      </c>
      <c r="D116" s="253">
        <f>D63</f>
        <v>23.9</v>
      </c>
      <c r="E116" s="217"/>
      <c r="F116" s="293"/>
      <c r="G116" s="293"/>
      <c r="H116" s="293"/>
      <c r="I116" s="293"/>
      <c r="J116" s="293"/>
      <c r="K116" s="293"/>
      <c r="L116" s="293"/>
      <c r="M116" s="293"/>
      <c r="N116" s="293"/>
      <c r="O116" s="293"/>
      <c r="P116" s="293"/>
      <c r="Q116" s="293"/>
      <c r="R116" s="293"/>
      <c r="S116" s="293"/>
      <c r="T116" s="293"/>
      <c r="U116" s="293"/>
      <c r="V116" s="293"/>
      <c r="W116" s="293"/>
      <c r="X116" s="293"/>
      <c r="Y116" s="293"/>
      <c r="Z116" s="45"/>
      <c r="AA116" s="45"/>
      <c r="AB116" s="45"/>
      <c r="AC116" s="263"/>
      <c r="AD116" s="338"/>
    </row>
    <row r="117" spans="1:30" s="53" customFormat="1" ht="12">
      <c r="A117" s="44"/>
      <c r="B117" s="70"/>
      <c r="C117" s="224" t="s">
        <v>452</v>
      </c>
      <c r="D117" s="253">
        <f>'Mode Operating Assumptions'!C103</f>
        <v>12.5</v>
      </c>
      <c r="E117" s="217"/>
      <c r="F117" s="293"/>
      <c r="G117" s="293"/>
      <c r="H117" s="293"/>
      <c r="I117" s="293"/>
      <c r="J117" s="293"/>
      <c r="K117" s="293"/>
      <c r="L117" s="293"/>
      <c r="M117" s="293"/>
      <c r="N117" s="293"/>
      <c r="O117" s="293"/>
      <c r="P117" s="293"/>
      <c r="Q117" s="293"/>
      <c r="R117" s="293"/>
      <c r="S117" s="293"/>
      <c r="T117" s="293"/>
      <c r="U117" s="293"/>
      <c r="V117" s="293"/>
      <c r="W117" s="293"/>
      <c r="X117" s="293"/>
      <c r="Y117" s="293"/>
      <c r="Z117" s="45"/>
      <c r="AA117" s="45"/>
      <c r="AB117" s="45"/>
      <c r="AC117" s="263"/>
      <c r="AD117" s="338"/>
    </row>
    <row r="118" spans="1:30" s="53" customFormat="1" ht="12">
      <c r="A118" s="44"/>
      <c r="B118" s="70"/>
      <c r="C118" s="78" t="s">
        <v>497</v>
      </c>
      <c r="D118" s="253"/>
      <c r="E118" s="217"/>
      <c r="F118" s="255">
        <f>(F110*$D$114)-($D$112*$D$117)</f>
        <v>-0.82892786890027459</v>
      </c>
      <c r="G118" s="255">
        <f t="shared" ref="G118:AC118" si="22">(G110*$D$114)-($D$112*$D$117)</f>
        <v>-0.82529847821031677</v>
      </c>
      <c r="H118" s="255">
        <f t="shared" si="22"/>
        <v>-0.8216441269682222</v>
      </c>
      <c r="I118" s="255">
        <f t="shared" si="22"/>
        <v>-0.81796455679221269</v>
      </c>
      <c r="J118" s="255">
        <f t="shared" si="22"/>
        <v>-0.81425950572194061</v>
      </c>
      <c r="K118" s="255">
        <f t="shared" si="22"/>
        <v>-0.8105287081563195</v>
      </c>
      <c r="L118" s="255">
        <f t="shared" si="22"/>
        <v>-0.80677189479005662</v>
      </c>
      <c r="M118" s="255">
        <f t="shared" si="22"/>
        <v>-0.80298879254884614</v>
      </c>
      <c r="N118" s="255">
        <f t="shared" si="22"/>
        <v>-0.79917912452320916</v>
      </c>
      <c r="O118" s="255">
        <f t="shared" si="22"/>
        <v>-0.79534260990092109</v>
      </c>
      <c r="P118" s="255">
        <f t="shared" si="22"/>
        <v>-0.79147896389801708</v>
      </c>
      <c r="Q118" s="255">
        <f t="shared" si="22"/>
        <v>-0.78758789768832038</v>
      </c>
      <c r="R118" s="255">
        <f t="shared" si="22"/>
        <v>-0.78366911833147146</v>
      </c>
      <c r="S118" s="255">
        <f t="shared" si="22"/>
        <v>-0.77972232869940683</v>
      </c>
      <c r="T118" s="255">
        <f t="shared" si="22"/>
        <v>-0.77574722740126223</v>
      </c>
      <c r="U118" s="255">
        <f t="shared" si="22"/>
        <v>-0.77174350870665087</v>
      </c>
      <c r="V118" s="255">
        <f t="shared" si="22"/>
        <v>-0.76771086246727727</v>
      </c>
      <c r="W118" s="255">
        <f t="shared" si="22"/>
        <v>-0.76364897403685106</v>
      </c>
      <c r="X118" s="255">
        <f t="shared" si="22"/>
        <v>-0.75955752418924316</v>
      </c>
      <c r="Y118" s="255">
        <f t="shared" si="22"/>
        <v>-0.75543618903485976</v>
      </c>
      <c r="Z118" s="255">
        <f t="shared" si="22"/>
        <v>-0.75128463993516847</v>
      </c>
      <c r="AA118" s="255">
        <f t="shared" si="22"/>
        <v>-0.74710254341534155</v>
      </c>
      <c r="AB118" s="255">
        <f t="shared" si="22"/>
        <v>-0.74288956107496151</v>
      </c>
      <c r="AC118" s="268">
        <f t="shared" si="22"/>
        <v>-0.73864534949674487</v>
      </c>
      <c r="AD118" s="346">
        <f t="shared" si="5"/>
        <v>-18.839130354887896</v>
      </c>
    </row>
    <row r="119" spans="1:30" s="53" customFormat="1" ht="12">
      <c r="A119" s="44"/>
      <c r="B119" s="70"/>
      <c r="C119" s="299" t="s">
        <v>155</v>
      </c>
      <c r="D119" s="209"/>
      <c r="E119" s="217"/>
      <c r="F119" s="255">
        <f>F118*F103</f>
        <v>0</v>
      </c>
      <c r="G119" s="255">
        <f t="shared" ref="G119:AC119" si="23">G118*G103</f>
        <v>-15061.697227338282</v>
      </c>
      <c r="H119" s="255">
        <f t="shared" si="23"/>
        <v>-15144.955370341755</v>
      </c>
      <c r="I119" s="255">
        <f t="shared" si="23"/>
        <v>-15227.903010003185</v>
      </c>
      <c r="J119" s="255">
        <f t="shared" si="23"/>
        <v>-15310.515989837988</v>
      </c>
      <c r="K119" s="255">
        <f t="shared" si="23"/>
        <v>-15392.76948667844</v>
      </c>
      <c r="L119" s="255">
        <f t="shared" si="23"/>
        <v>-15474.637994516888</v>
      </c>
      <c r="M119" s="255">
        <f t="shared" si="23"/>
        <v>-15556.095307951937</v>
      </c>
      <c r="N119" s="255">
        <f t="shared" si="23"/>
        <v>-15637.114505227551</v>
      </c>
      <c r="O119" s="255">
        <f t="shared" si="23"/>
        <v>-15717.667930853853</v>
      </c>
      <c r="P119" s="255">
        <f t="shared" si="23"/>
        <v>-15797.727177798975</v>
      </c>
      <c r="Q119" s="255">
        <f t="shared" si="23"/>
        <v>-15877.26306924022</v>
      </c>
      <c r="R119" s="255">
        <f t="shared" si="23"/>
        <v>-15956.245639863089</v>
      </c>
      <c r="S119" s="255">
        <f t="shared" si="23"/>
        <v>-16034.644116695839</v>
      </c>
      <c r="T119" s="255">
        <f t="shared" si="23"/>
        <v>-16112.426899467402</v>
      </c>
      <c r="U119" s="255">
        <f t="shared" si="23"/>
        <v>-16189.56154047571</v>
      </c>
      <c r="V119" s="255">
        <f t="shared" si="23"/>
        <v>-16266.014723953251</v>
      </c>
      <c r="W119" s="255">
        <f t="shared" si="23"/>
        <v>-16341.752244916441</v>
      </c>
      <c r="X119" s="255">
        <f t="shared" si="23"/>
        <v>-16416.738987484572</v>
      </c>
      <c r="Y119" s="255">
        <f t="shared" si="23"/>
        <v>-16490.938902654332</v>
      </c>
      <c r="Z119" s="255">
        <f t="shared" si="23"/>
        <v>-16564.31498551472</v>
      </c>
      <c r="AA119" s="255">
        <f t="shared" si="23"/>
        <v>-16636.82925188728</v>
      </c>
      <c r="AB119" s="255">
        <f t="shared" si="23"/>
        <v>-16708.442714375888</v>
      </c>
      <c r="AC119" s="268">
        <f t="shared" si="23"/>
        <v>-16779.115357809958</v>
      </c>
      <c r="AD119" s="346">
        <f t="shared" si="5"/>
        <v>-366695.37243488763</v>
      </c>
    </row>
    <row r="120" spans="1:30" s="53" customFormat="1" ht="12">
      <c r="A120" s="44"/>
      <c r="B120" s="70"/>
      <c r="C120" s="78" t="s">
        <v>498</v>
      </c>
      <c r="D120" s="253">
        <f>(D111*D115)-(D112*D117)</f>
        <v>-0.33843405647382907</v>
      </c>
      <c r="E120" s="217"/>
      <c r="F120" s="255">
        <f t="shared" ref="F120:AC120" si="24">$D120*F104</f>
        <v>0</v>
      </c>
      <c r="G120" s="255">
        <f t="shared" si="24"/>
        <v>-9264.6322959710706</v>
      </c>
      <c r="H120" s="255">
        <f t="shared" si="24"/>
        <v>-9357.2786189307808</v>
      </c>
      <c r="I120" s="255">
        <f t="shared" si="24"/>
        <v>-9450.8514051200891</v>
      </c>
      <c r="J120" s="255">
        <f t="shared" si="24"/>
        <v>-9545.359919171291</v>
      </c>
      <c r="K120" s="255">
        <f t="shared" si="24"/>
        <v>-9640.813518363002</v>
      </c>
      <c r="L120" s="255">
        <f t="shared" si="24"/>
        <v>-9737.2216535466323</v>
      </c>
      <c r="M120" s="255">
        <f t="shared" si="24"/>
        <v>-9834.5938700821007</v>
      </c>
      <c r="N120" s="255">
        <f t="shared" si="24"/>
        <v>-9932.9398087829213</v>
      </c>
      <c r="O120" s="255">
        <f t="shared" si="24"/>
        <v>-10032.269206870749</v>
      </c>
      <c r="P120" s="255">
        <f t="shared" si="24"/>
        <v>-10132.591898939458</v>
      </c>
      <c r="Q120" s="255">
        <f t="shared" si="24"/>
        <v>-10233.917817928852</v>
      </c>
      <c r="R120" s="255">
        <f t="shared" si="24"/>
        <v>-10336.256996108141</v>
      </c>
      <c r="S120" s="255">
        <f t="shared" si="24"/>
        <v>-10439.619566069223</v>
      </c>
      <c r="T120" s="255">
        <f t="shared" si="24"/>
        <v>-10544.015761729914</v>
      </c>
      <c r="U120" s="255">
        <f t="shared" si="24"/>
        <v>-10649.455919347214</v>
      </c>
      <c r="V120" s="255">
        <f t="shared" si="24"/>
        <v>-10755.950478540686</v>
      </c>
      <c r="W120" s="255">
        <f t="shared" si="24"/>
        <v>-10863.509983326092</v>
      </c>
      <c r="X120" s="255">
        <f t="shared" si="24"/>
        <v>-10972.145083159354</v>
      </c>
      <c r="Y120" s="255">
        <f t="shared" si="24"/>
        <v>-11081.866533990946</v>
      </c>
      <c r="Z120" s="255">
        <f t="shared" si="24"/>
        <v>-11192.685199330856</v>
      </c>
      <c r="AA120" s="255">
        <f t="shared" si="24"/>
        <v>-11304.612051324166</v>
      </c>
      <c r="AB120" s="255">
        <f t="shared" si="24"/>
        <v>-11417.658171837409</v>
      </c>
      <c r="AC120" s="268">
        <f t="shared" si="24"/>
        <v>-11531.834753555782</v>
      </c>
      <c r="AD120" s="346">
        <f t="shared" si="5"/>
        <v>-238252.08051202673</v>
      </c>
    </row>
    <row r="121" spans="1:30" s="53" customFormat="1" ht="12">
      <c r="A121" s="44"/>
      <c r="B121" s="70"/>
      <c r="C121" s="78" t="s">
        <v>499</v>
      </c>
      <c r="D121" s="209">
        <f>(D113*D116)-(D112*D117)</f>
        <v>2.671875</v>
      </c>
      <c r="E121" s="217"/>
      <c r="F121" s="255">
        <f t="shared" ref="F121:AC121" si="25">$D121*F106</f>
        <v>0</v>
      </c>
      <c r="G121" s="255">
        <f t="shared" si="25"/>
        <v>48761.71875</v>
      </c>
      <c r="H121" s="255">
        <f t="shared" si="25"/>
        <v>49249.3359375</v>
      </c>
      <c r="I121" s="255">
        <f t="shared" si="25"/>
        <v>49741.829296875003</v>
      </c>
      <c r="J121" s="255">
        <f t="shared" si="25"/>
        <v>50239.247589843755</v>
      </c>
      <c r="K121" s="255">
        <f t="shared" si="25"/>
        <v>50741.640065742191</v>
      </c>
      <c r="L121" s="255">
        <f t="shared" si="25"/>
        <v>51249.056466399605</v>
      </c>
      <c r="M121" s="255">
        <f t="shared" si="25"/>
        <v>51761.547031063608</v>
      </c>
      <c r="N121" s="255">
        <f t="shared" si="25"/>
        <v>52279.16250137426</v>
      </c>
      <c r="O121" s="255">
        <f t="shared" si="25"/>
        <v>52801.954126387995</v>
      </c>
      <c r="P121" s="255">
        <f t="shared" si="25"/>
        <v>53329.973667651873</v>
      </c>
      <c r="Q121" s="255">
        <f t="shared" si="25"/>
        <v>53863.273404328385</v>
      </c>
      <c r="R121" s="255">
        <f t="shared" si="25"/>
        <v>54401.906138371669</v>
      </c>
      <c r="S121" s="255">
        <f t="shared" si="25"/>
        <v>54945.925199755395</v>
      </c>
      <c r="T121" s="255">
        <f t="shared" si="25"/>
        <v>55495.384451752943</v>
      </c>
      <c r="U121" s="255">
        <f t="shared" si="25"/>
        <v>56050.338296270471</v>
      </c>
      <c r="V121" s="255">
        <f t="shared" si="25"/>
        <v>56610.841679233177</v>
      </c>
      <c r="W121" s="255">
        <f t="shared" si="25"/>
        <v>57176.95009602551</v>
      </c>
      <c r="X121" s="255">
        <f t="shared" si="25"/>
        <v>57748.719596985771</v>
      </c>
      <c r="Y121" s="255">
        <f t="shared" si="25"/>
        <v>58326.206792955621</v>
      </c>
      <c r="Z121" s="255">
        <f t="shared" si="25"/>
        <v>58909.468860885187</v>
      </c>
      <c r="AA121" s="255">
        <f t="shared" si="25"/>
        <v>59498.563549494036</v>
      </c>
      <c r="AB121" s="255">
        <f t="shared" si="25"/>
        <v>60093.54918498898</v>
      </c>
      <c r="AC121" s="268">
        <f t="shared" si="25"/>
        <v>60694.484676838874</v>
      </c>
      <c r="AD121" s="346">
        <f t="shared" si="5"/>
        <v>1253971.0773607243</v>
      </c>
    </row>
    <row r="122" spans="1:30" s="53" customFormat="1" ht="12">
      <c r="A122" s="44"/>
      <c r="B122" s="70" t="s">
        <v>446</v>
      </c>
      <c r="C122" s="224" t="s">
        <v>387</v>
      </c>
      <c r="D122" s="209"/>
      <c r="E122" s="217"/>
      <c r="F122" s="306">
        <f>F58</f>
        <v>0.39100279786137265</v>
      </c>
      <c r="G122" s="306">
        <f t="shared" ref="G122:AC122" si="26">G58</f>
        <v>0.39205714599476826</v>
      </c>
      <c r="H122" s="306">
        <f t="shared" si="26"/>
        <v>0.39311874523828177</v>
      </c>
      <c r="I122" s="306">
        <f t="shared" si="26"/>
        <v>0.39418767065254157</v>
      </c>
      <c r="J122" s="306">
        <f t="shared" si="26"/>
        <v>0.39526399833776032</v>
      </c>
      <c r="K122" s="306">
        <f t="shared" si="26"/>
        <v>0.39634780545179538</v>
      </c>
      <c r="L122" s="306">
        <f t="shared" si="26"/>
        <v>0.39743917022858699</v>
      </c>
      <c r="M122" s="306">
        <f t="shared" si="26"/>
        <v>0.39853817199698321</v>
      </c>
      <c r="N122" s="306">
        <f t="shared" si="26"/>
        <v>0.39964489119996166</v>
      </c>
      <c r="O122" s="306">
        <f t="shared" si="26"/>
        <v>0.40075940941425758</v>
      </c>
      <c r="P122" s="306">
        <f t="shared" si="26"/>
        <v>0.40188180937040846</v>
      </c>
      <c r="Q122" s="306">
        <f t="shared" si="26"/>
        <v>0.40301217497322528</v>
      </c>
      <c r="R122" s="306">
        <f t="shared" si="26"/>
        <v>0.40415059132270104</v>
      </c>
      <c r="S122" s="306">
        <f t="shared" si="26"/>
        <v>0.40529714473536788</v>
      </c>
      <c r="T122" s="306">
        <f t="shared" si="26"/>
        <v>0.40645192276611369</v>
      </c>
      <c r="U122" s="306">
        <f t="shared" si="26"/>
        <v>0.40761501423047014</v>
      </c>
      <c r="V122" s="306">
        <f t="shared" si="26"/>
        <v>0.40878650922738302</v>
      </c>
      <c r="W122" s="306">
        <f t="shared" si="26"/>
        <v>0.40996649916247907</v>
      </c>
      <c r="X122" s="306">
        <f t="shared" si="26"/>
        <v>0.41115507677183999</v>
      </c>
      <c r="Y122" s="306">
        <f t="shared" si="26"/>
        <v>0.41235233614629774</v>
      </c>
      <c r="Z122" s="306">
        <f t="shared" si="26"/>
        <v>0.41355837275626389</v>
      </c>
      <c r="AA122" s="306">
        <f t="shared" si="26"/>
        <v>0.41477328347710757</v>
      </c>
      <c r="AB122" s="306">
        <f t="shared" si="26"/>
        <v>0.415997166615095</v>
      </c>
      <c r="AC122" s="386">
        <f t="shared" si="26"/>
        <v>0.41723012193390652</v>
      </c>
      <c r="AD122" s="351">
        <f t="shared" si="5"/>
        <v>9.6905878298649686</v>
      </c>
    </row>
    <row r="123" spans="1:30" s="53" customFormat="1" ht="12">
      <c r="A123" s="44"/>
      <c r="B123" s="70"/>
      <c r="C123" s="224" t="s">
        <v>455</v>
      </c>
      <c r="D123" s="209">
        <f>'Mode Operating Assumptions'!C150</f>
        <v>0.38127571701364549</v>
      </c>
      <c r="E123" s="217"/>
      <c r="F123" s="255"/>
      <c r="G123" s="255"/>
      <c r="H123" s="255"/>
      <c r="I123" s="255"/>
      <c r="J123" s="255"/>
      <c r="K123" s="255"/>
      <c r="L123" s="255"/>
      <c r="M123" s="255"/>
      <c r="N123" s="255"/>
      <c r="O123" s="255"/>
      <c r="P123" s="255"/>
      <c r="Q123" s="255"/>
      <c r="R123" s="255"/>
      <c r="S123" s="255"/>
      <c r="T123" s="255"/>
      <c r="U123" s="255"/>
      <c r="V123" s="255"/>
      <c r="W123" s="255"/>
      <c r="X123" s="255"/>
      <c r="Y123" s="255"/>
      <c r="Z123" s="255"/>
      <c r="AA123" s="255"/>
      <c r="AB123" s="255"/>
      <c r="AC123" s="268"/>
      <c r="AD123" s="346"/>
    </row>
    <row r="124" spans="1:30" s="53" customFormat="1" ht="12">
      <c r="A124" s="44"/>
      <c r="B124" s="70"/>
      <c r="C124" s="224" t="s">
        <v>456</v>
      </c>
      <c r="D124" s="209">
        <f>'Mode Operating Assumptions'!C102</f>
        <v>0.17899999999999999</v>
      </c>
      <c r="E124" s="217"/>
      <c r="F124" s="255"/>
      <c r="G124" s="255"/>
      <c r="H124" s="255"/>
      <c r="I124" s="255"/>
      <c r="J124" s="255"/>
      <c r="K124" s="255"/>
      <c r="L124" s="255"/>
      <c r="M124" s="255"/>
      <c r="N124" s="255"/>
      <c r="O124" s="255"/>
      <c r="P124" s="255"/>
      <c r="Q124" s="255"/>
      <c r="R124" s="255"/>
      <c r="S124" s="255"/>
      <c r="T124" s="255"/>
      <c r="U124" s="255"/>
      <c r="V124" s="255"/>
      <c r="W124" s="255"/>
      <c r="X124" s="255"/>
      <c r="Y124" s="255"/>
      <c r="Z124" s="255"/>
      <c r="AA124" s="255"/>
      <c r="AB124" s="255"/>
      <c r="AC124" s="268"/>
      <c r="AD124" s="346"/>
    </row>
    <row r="125" spans="1:30" s="53" customFormat="1" ht="12">
      <c r="A125" s="44"/>
      <c r="B125" s="70"/>
      <c r="C125" s="78" t="s">
        <v>500</v>
      </c>
      <c r="D125" s="209"/>
      <c r="E125" s="217"/>
      <c r="F125" s="255">
        <f>(F122*$D$114)-(($D$123*$D$115)+($D$124*$D$117))</f>
        <v>-2.1159114894034108</v>
      </c>
      <c r="G125" s="255">
        <f t="shared" ref="G125:AC125" si="27">(G122*$D$114)-(($D$123*$D$115)+($D$124*$D$117))</f>
        <v>-2.1027321377359653</v>
      </c>
      <c r="H125" s="255">
        <f t="shared" si="27"/>
        <v>-2.0894621471920463</v>
      </c>
      <c r="I125" s="255">
        <f t="shared" si="27"/>
        <v>-2.076100579513799</v>
      </c>
      <c r="J125" s="255">
        <f t="shared" si="27"/>
        <v>-2.0626464834485647</v>
      </c>
      <c r="K125" s="255">
        <f t="shared" si="27"/>
        <v>-2.0490988945231265</v>
      </c>
      <c r="L125" s="255">
        <f t="shared" si="27"/>
        <v>-2.0354568348132318</v>
      </c>
      <c r="M125" s="255">
        <f t="shared" si="27"/>
        <v>-2.0217193127082789</v>
      </c>
      <c r="N125" s="255">
        <f t="shared" si="27"/>
        <v>-2.007885322671048</v>
      </c>
      <c r="O125" s="255">
        <f t="shared" si="27"/>
        <v>-1.9939538449923493</v>
      </c>
      <c r="P125" s="255">
        <f t="shared" si="27"/>
        <v>-1.9799238455404629</v>
      </c>
      <c r="Q125" s="255">
        <f t="shared" si="27"/>
        <v>-1.9657942755052531</v>
      </c>
      <c r="R125" s="255">
        <f t="shared" si="27"/>
        <v>-1.9515640711368061</v>
      </c>
      <c r="S125" s="255">
        <f t="shared" si="27"/>
        <v>-1.9372321534784707</v>
      </c>
      <c r="T125" s="255">
        <f t="shared" si="27"/>
        <v>-1.9227974280941478</v>
      </c>
      <c r="U125" s="255">
        <f t="shared" si="27"/>
        <v>-1.9082587847896919</v>
      </c>
      <c r="V125" s="255">
        <f t="shared" si="27"/>
        <v>-1.893615097328281</v>
      </c>
      <c r="W125" s="255">
        <f t="shared" si="27"/>
        <v>-1.8788652231395808</v>
      </c>
      <c r="X125" s="255">
        <f t="shared" si="27"/>
        <v>-1.864008003022569</v>
      </c>
      <c r="Y125" s="255">
        <f t="shared" si="27"/>
        <v>-1.8490422608418466</v>
      </c>
      <c r="Z125" s="255">
        <f t="shared" si="27"/>
        <v>-1.8339668032172698</v>
      </c>
      <c r="AA125" s="255">
        <f t="shared" si="27"/>
        <v>-1.8187804192067238</v>
      </c>
      <c r="AB125" s="255">
        <f t="shared" si="27"/>
        <v>-1.8034818799818808</v>
      </c>
      <c r="AC125" s="268">
        <f t="shared" si="27"/>
        <v>-1.7880699384967373</v>
      </c>
      <c r="AD125" s="346">
        <f t="shared" si="5"/>
        <v>-46.950367230781552</v>
      </c>
    </row>
    <row r="126" spans="1:30" s="53" customFormat="1" ht="12">
      <c r="A126" s="44"/>
      <c r="D126" s="209"/>
      <c r="E126" s="217"/>
      <c r="F126" s="255">
        <f>$F125*F107</f>
        <v>0</v>
      </c>
      <c r="G126" s="255">
        <f t="shared" ref="G126:AC126" si="28">$F125*G107</f>
        <v>-77230.769363224492</v>
      </c>
      <c r="H126" s="255">
        <f t="shared" si="28"/>
        <v>-78003.077056856739</v>
      </c>
      <c r="I126" s="255">
        <f t="shared" si="28"/>
        <v>-78783.107827425309</v>
      </c>
      <c r="J126" s="255">
        <f t="shared" si="28"/>
        <v>-79570.938905699571</v>
      </c>
      <c r="K126" s="255">
        <f t="shared" si="28"/>
        <v>-80366.648294756553</v>
      </c>
      <c r="L126" s="255">
        <f t="shared" si="28"/>
        <v>-81170.314777704116</v>
      </c>
      <c r="M126" s="255">
        <f t="shared" si="28"/>
        <v>-81982.017925481166</v>
      </c>
      <c r="N126" s="255">
        <f t="shared" si="28"/>
        <v>-82801.838104736002</v>
      </c>
      <c r="O126" s="255">
        <f t="shared" si="28"/>
        <v>-83629.856485783355</v>
      </c>
      <c r="P126" s="255">
        <f t="shared" si="28"/>
        <v>-84466.155050641173</v>
      </c>
      <c r="Q126" s="255">
        <f t="shared" si="28"/>
        <v>-85310.816601147584</v>
      </c>
      <c r="R126" s="255">
        <f t="shared" si="28"/>
        <v>-86163.924767159057</v>
      </c>
      <c r="S126" s="255">
        <f t="shared" si="28"/>
        <v>-87025.56401483067</v>
      </c>
      <c r="T126" s="255">
        <f t="shared" si="28"/>
        <v>-87895.819654978972</v>
      </c>
      <c r="U126" s="255">
        <f t="shared" si="28"/>
        <v>-88774.77785152875</v>
      </c>
      <c r="V126" s="255">
        <f t="shared" si="28"/>
        <v>-89662.525630044038</v>
      </c>
      <c r="W126" s="255">
        <f t="shared" si="28"/>
        <v>-90559.150886344491</v>
      </c>
      <c r="X126" s="255">
        <f t="shared" si="28"/>
        <v>-91464.742395207926</v>
      </c>
      <c r="Y126" s="255">
        <f t="shared" si="28"/>
        <v>-92379.389819160002</v>
      </c>
      <c r="Z126" s="255">
        <f t="shared" si="28"/>
        <v>-93303.183717351611</v>
      </c>
      <c r="AA126" s="255">
        <f t="shared" si="28"/>
        <v>-94236.21555452513</v>
      </c>
      <c r="AB126" s="255">
        <f t="shared" si="28"/>
        <v>-95178.577710070385</v>
      </c>
      <c r="AC126" s="268">
        <f t="shared" si="28"/>
        <v>-96130.363487171096</v>
      </c>
      <c r="AD126" s="346">
        <f t="shared" si="5"/>
        <v>-1986089.7758818285</v>
      </c>
    </row>
    <row r="127" spans="1:30" s="53" customFormat="1" ht="12">
      <c r="A127" s="44"/>
      <c r="B127" s="70"/>
      <c r="C127" s="62" t="s">
        <v>413</v>
      </c>
      <c r="D127" s="209">
        <f>D101</f>
        <v>0</v>
      </c>
      <c r="E127" s="217"/>
      <c r="F127" s="255">
        <f>F126+F121+F120+F119</f>
        <v>0</v>
      </c>
      <c r="G127" s="255">
        <f t="shared" ref="G127:AC127" si="29">G126+G121+G120+G119</f>
        <v>-52795.380136533844</v>
      </c>
      <c r="H127" s="255">
        <f t="shared" si="29"/>
        <v>-53255.975108629274</v>
      </c>
      <c r="I127" s="255">
        <f t="shared" si="29"/>
        <v>-53720.032945673578</v>
      </c>
      <c r="J127" s="255">
        <f t="shared" si="29"/>
        <v>-54187.567224865095</v>
      </c>
      <c r="K127" s="255">
        <f t="shared" si="29"/>
        <v>-54658.591234055799</v>
      </c>
      <c r="L127" s="255">
        <f t="shared" si="29"/>
        <v>-55133.117959368028</v>
      </c>
      <c r="M127" s="255">
        <f t="shared" si="29"/>
        <v>-55611.160072451596</v>
      </c>
      <c r="N127" s="255">
        <f t="shared" si="29"/>
        <v>-56092.729917372213</v>
      </c>
      <c r="O127" s="255">
        <f t="shared" si="29"/>
        <v>-56577.83949711996</v>
      </c>
      <c r="P127" s="255">
        <f t="shared" si="29"/>
        <v>-57066.500459727729</v>
      </c>
      <c r="Q127" s="255">
        <f t="shared" si="29"/>
        <v>-57558.724083988272</v>
      </c>
      <c r="R127" s="255">
        <f t="shared" si="29"/>
        <v>-58054.521264758616</v>
      </c>
      <c r="S127" s="255">
        <f t="shared" si="29"/>
        <v>-58553.902497840339</v>
      </c>
      <c r="T127" s="255">
        <f t="shared" si="29"/>
        <v>-59056.877864423339</v>
      </c>
      <c r="U127" s="255">
        <f t="shared" si="29"/>
        <v>-59563.457015081207</v>
      </c>
      <c r="V127" s="255">
        <f t="shared" si="29"/>
        <v>-60073.649153304796</v>
      </c>
      <c r="W127" s="255">
        <f t="shared" si="29"/>
        <v>-60587.46301856151</v>
      </c>
      <c r="X127" s="255">
        <f t="shared" si="29"/>
        <v>-61104.906868866077</v>
      </c>
      <c r="Y127" s="255">
        <f t="shared" si="29"/>
        <v>-61625.988462849666</v>
      </c>
      <c r="Z127" s="255">
        <f t="shared" si="29"/>
        <v>-62150.715041311996</v>
      </c>
      <c r="AA127" s="255">
        <f t="shared" si="29"/>
        <v>-62679.093308242533</v>
      </c>
      <c r="AB127" s="255">
        <f t="shared" si="29"/>
        <v>-63211.1294112947</v>
      </c>
      <c r="AC127" s="268">
        <f t="shared" si="29"/>
        <v>-63746.828921697961</v>
      </c>
      <c r="AD127" s="346">
        <f t="shared" si="5"/>
        <v>-1337066.1514680178</v>
      </c>
    </row>
    <row r="128" spans="1:30" s="53" customFormat="1" ht="12">
      <c r="A128" s="44"/>
      <c r="B128" s="70"/>
      <c r="D128" s="210"/>
      <c r="E128" s="217"/>
      <c r="F128" s="59"/>
      <c r="G128" s="59"/>
      <c r="H128" s="59"/>
      <c r="I128" s="59"/>
      <c r="J128" s="59"/>
      <c r="K128" s="59"/>
      <c r="L128" s="59"/>
      <c r="M128" s="59"/>
      <c r="N128" s="59"/>
      <c r="O128" s="59"/>
      <c r="P128" s="59"/>
      <c r="Q128" s="59"/>
      <c r="R128" s="59"/>
      <c r="S128" s="59"/>
      <c r="T128" s="59"/>
      <c r="U128" s="59"/>
      <c r="V128" s="59"/>
      <c r="W128" s="59"/>
      <c r="X128" s="59"/>
      <c r="Y128" s="59"/>
      <c r="AC128" s="263"/>
      <c r="AD128" s="338"/>
    </row>
    <row r="129" spans="1:30" s="53" customFormat="1" ht="12">
      <c r="A129" s="44"/>
      <c r="B129" s="70"/>
      <c r="C129" s="63" t="s">
        <v>149</v>
      </c>
      <c r="D129" s="210"/>
      <c r="E129" s="217"/>
      <c r="F129" s="59"/>
      <c r="G129" s="59"/>
      <c r="H129" s="59"/>
      <c r="I129" s="59"/>
      <c r="J129" s="59"/>
      <c r="K129" s="59"/>
      <c r="L129" s="59"/>
      <c r="M129" s="59"/>
      <c r="N129" s="59"/>
      <c r="O129" s="59"/>
      <c r="P129" s="59"/>
      <c r="Q129" s="59"/>
      <c r="R129" s="59"/>
      <c r="S129" s="59"/>
      <c r="T129" s="59"/>
      <c r="U129" s="59"/>
      <c r="V129" s="59"/>
      <c r="W129" s="59"/>
      <c r="X129" s="59"/>
      <c r="Y129" s="59"/>
      <c r="AC129" s="263"/>
      <c r="AD129" s="338"/>
    </row>
    <row r="130" spans="1:30" s="53" customFormat="1" ht="12">
      <c r="A130" s="44"/>
      <c r="B130" s="70"/>
      <c r="C130" s="224" t="s">
        <v>460</v>
      </c>
      <c r="D130" s="253">
        <f>D96</f>
        <v>8.1905000000000001</v>
      </c>
      <c r="E130" s="217"/>
      <c r="F130" s="59"/>
      <c r="G130" s="59"/>
      <c r="H130" s="59"/>
      <c r="I130" s="59"/>
      <c r="J130" s="59"/>
      <c r="K130" s="59"/>
      <c r="L130" s="59"/>
      <c r="M130" s="59"/>
      <c r="N130" s="59"/>
      <c r="O130" s="59"/>
      <c r="P130" s="59"/>
      <c r="Q130" s="59"/>
      <c r="R130" s="59"/>
      <c r="S130" s="59"/>
      <c r="T130" s="59"/>
      <c r="U130" s="59"/>
      <c r="V130" s="59"/>
      <c r="W130" s="59"/>
      <c r="X130" s="59"/>
      <c r="Y130" s="59"/>
      <c r="AC130" s="263"/>
      <c r="AD130" s="338"/>
    </row>
    <row r="131" spans="1:30" s="53" customFormat="1" ht="12">
      <c r="A131" s="44"/>
      <c r="B131" s="70"/>
      <c r="C131" s="225" t="s">
        <v>461</v>
      </c>
      <c r="D131" s="253">
        <f>D97</f>
        <v>2.107407271835358</v>
      </c>
      <c r="E131" s="217"/>
      <c r="F131" s="59"/>
      <c r="G131" s="59"/>
      <c r="H131" s="59"/>
      <c r="I131" s="59"/>
      <c r="J131" s="59"/>
      <c r="K131" s="59"/>
      <c r="L131" s="59"/>
      <c r="M131" s="59"/>
      <c r="N131" s="59"/>
      <c r="O131" s="59"/>
      <c r="P131" s="59"/>
      <c r="Q131" s="59"/>
      <c r="R131" s="59"/>
      <c r="S131" s="59"/>
      <c r="T131" s="59"/>
      <c r="U131" s="59"/>
      <c r="V131" s="59"/>
      <c r="W131" s="59"/>
      <c r="X131" s="59"/>
      <c r="Y131" s="59"/>
      <c r="AC131" s="263"/>
      <c r="AD131" s="338"/>
    </row>
    <row r="132" spans="1:30" s="53" customFormat="1" ht="12">
      <c r="A132" s="44"/>
      <c r="B132" s="70"/>
      <c r="C132" s="225" t="s">
        <v>462</v>
      </c>
      <c r="D132" s="253">
        <f>'Mode Operating Assumptions'!C61</f>
        <v>0.1</v>
      </c>
      <c r="E132" s="217"/>
      <c r="F132" s="59"/>
      <c r="G132" s="59"/>
      <c r="H132" s="59"/>
      <c r="I132" s="59"/>
      <c r="J132" s="59"/>
      <c r="K132" s="59"/>
      <c r="L132" s="59"/>
      <c r="M132" s="59"/>
      <c r="N132" s="59"/>
      <c r="O132" s="59"/>
      <c r="P132" s="59"/>
      <c r="Q132" s="59"/>
      <c r="R132" s="59"/>
      <c r="S132" s="59"/>
      <c r="T132" s="59"/>
      <c r="U132" s="59"/>
      <c r="V132" s="59"/>
      <c r="W132" s="59"/>
      <c r="X132" s="59"/>
      <c r="Y132" s="59"/>
      <c r="AC132" s="263"/>
      <c r="AD132" s="338"/>
    </row>
    <row r="133" spans="1:30" s="53" customFormat="1" ht="12">
      <c r="A133" s="44"/>
      <c r="B133" s="70"/>
      <c r="C133" s="224" t="s">
        <v>463</v>
      </c>
      <c r="D133" s="253">
        <f>'Mode Operating Assumptions'!C54</f>
        <v>0.05</v>
      </c>
      <c r="E133" s="217"/>
      <c r="F133" s="59"/>
      <c r="G133" s="59"/>
      <c r="H133" s="59"/>
      <c r="I133" s="59"/>
      <c r="J133" s="59"/>
      <c r="K133" s="59"/>
      <c r="L133" s="59"/>
      <c r="M133" s="59"/>
      <c r="N133" s="59"/>
      <c r="O133" s="59"/>
      <c r="P133" s="59"/>
      <c r="Q133" s="59"/>
      <c r="R133" s="59"/>
      <c r="S133" s="59"/>
      <c r="T133" s="59"/>
      <c r="U133" s="59"/>
      <c r="V133" s="59"/>
      <c r="W133" s="59"/>
      <c r="X133" s="59"/>
      <c r="Y133" s="59"/>
      <c r="AC133" s="263"/>
      <c r="AD133" s="338"/>
    </row>
    <row r="134" spans="1:30" s="53" customFormat="1" ht="12">
      <c r="A134" s="44"/>
      <c r="B134" s="70"/>
      <c r="C134" s="225" t="s">
        <v>464</v>
      </c>
      <c r="D134" s="253">
        <f>'Mode Operating Assumptions'!C95*'Mode Operating Assumptions'!C86</f>
        <v>0.19708904109589043</v>
      </c>
      <c r="E134" s="217"/>
      <c r="F134" s="59"/>
      <c r="G134" s="59"/>
      <c r="H134" s="59"/>
      <c r="I134" s="59"/>
      <c r="J134" s="59"/>
      <c r="K134" s="59"/>
      <c r="L134" s="59"/>
      <c r="M134" s="59"/>
      <c r="N134" s="59"/>
      <c r="O134" s="59"/>
      <c r="P134" s="59"/>
      <c r="Q134" s="59"/>
      <c r="R134" s="59"/>
      <c r="S134" s="59"/>
      <c r="T134" s="59"/>
      <c r="U134" s="59"/>
      <c r="V134" s="59"/>
      <c r="W134" s="59"/>
      <c r="X134" s="59"/>
      <c r="Y134" s="59"/>
      <c r="AC134" s="263"/>
      <c r="AD134" s="338"/>
    </row>
    <row r="135" spans="1:30" s="53" customFormat="1" ht="12">
      <c r="A135" s="44"/>
      <c r="B135" s="70" t="s">
        <v>447</v>
      </c>
      <c r="C135" s="224" t="s">
        <v>465</v>
      </c>
      <c r="D135" s="253">
        <f>D130-D134</f>
        <v>7.9934109589041098</v>
      </c>
      <c r="E135" s="217"/>
      <c r="F135" s="255">
        <f t="shared" ref="F135:AC139" si="30">$D135*F103</f>
        <v>0</v>
      </c>
      <c r="G135" s="255">
        <f t="shared" si="30"/>
        <v>145879.75</v>
      </c>
      <c r="H135" s="255">
        <f t="shared" si="30"/>
        <v>147338.54750000002</v>
      </c>
      <c r="I135" s="255">
        <f t="shared" si="30"/>
        <v>148811.932975</v>
      </c>
      <c r="J135" s="255">
        <f t="shared" si="30"/>
        <v>150300.05230475002</v>
      </c>
      <c r="K135" s="255">
        <f t="shared" si="30"/>
        <v>151803.05282779751</v>
      </c>
      <c r="L135" s="255">
        <f t="shared" si="30"/>
        <v>153321.08335607545</v>
      </c>
      <c r="M135" s="255">
        <f t="shared" si="30"/>
        <v>154854.29418963625</v>
      </c>
      <c r="N135" s="255">
        <f t="shared" si="30"/>
        <v>156402.83713153264</v>
      </c>
      <c r="O135" s="255">
        <f t="shared" si="30"/>
        <v>157966.86550284794</v>
      </c>
      <c r="P135" s="255">
        <f t="shared" si="30"/>
        <v>159546.53415787642</v>
      </c>
      <c r="Q135" s="255">
        <f t="shared" si="30"/>
        <v>161141.99949945518</v>
      </c>
      <c r="R135" s="255">
        <f t="shared" si="30"/>
        <v>162753.41949444971</v>
      </c>
      <c r="S135" s="255">
        <f t="shared" si="30"/>
        <v>164380.95368939426</v>
      </c>
      <c r="T135" s="255">
        <f t="shared" si="30"/>
        <v>166024.7632262882</v>
      </c>
      <c r="U135" s="255">
        <f t="shared" si="30"/>
        <v>167685.01085855105</v>
      </c>
      <c r="V135" s="255">
        <f t="shared" si="30"/>
        <v>169361.86096713657</v>
      </c>
      <c r="W135" s="255">
        <f t="shared" si="30"/>
        <v>171055.47957680793</v>
      </c>
      <c r="X135" s="255">
        <f t="shared" si="30"/>
        <v>172766.03437257602</v>
      </c>
      <c r="Y135" s="255">
        <f t="shared" si="30"/>
        <v>174493.69471630178</v>
      </c>
      <c r="Z135" s="255">
        <f t="shared" si="30"/>
        <v>176238.6316634648</v>
      </c>
      <c r="AA135" s="255">
        <f t="shared" si="30"/>
        <v>178001.01798009945</v>
      </c>
      <c r="AB135" s="255">
        <f t="shared" si="30"/>
        <v>179781.02815990045</v>
      </c>
      <c r="AC135" s="268">
        <f t="shared" si="30"/>
        <v>181578.83844149948</v>
      </c>
      <c r="AD135" s="346">
        <f t="shared" ref="AD135:AD166" si="31">SUM(F135:AC135)</f>
        <v>3751487.6825914411</v>
      </c>
    </row>
    <row r="136" spans="1:30" s="53" customFormat="1" ht="12">
      <c r="A136" s="44"/>
      <c r="B136" s="70"/>
      <c r="C136" s="224" t="s">
        <v>466</v>
      </c>
      <c r="D136" s="253">
        <f>D131-D134</f>
        <v>1.9103182307394677</v>
      </c>
      <c r="E136" s="217"/>
      <c r="F136" s="255">
        <f t="shared" si="30"/>
        <v>0</v>
      </c>
      <c r="G136" s="255">
        <f t="shared" si="30"/>
        <v>52294.96156649293</v>
      </c>
      <c r="H136" s="255">
        <f t="shared" si="30"/>
        <v>52817.911182157855</v>
      </c>
      <c r="I136" s="255">
        <f t="shared" si="30"/>
        <v>53346.090293979432</v>
      </c>
      <c r="J136" s="255">
        <f t="shared" si="30"/>
        <v>53879.551196919238</v>
      </c>
      <c r="K136" s="255">
        <f t="shared" si="30"/>
        <v>54418.346708888421</v>
      </c>
      <c r="L136" s="255">
        <f t="shared" si="30"/>
        <v>54962.530175977306</v>
      </c>
      <c r="M136" s="255">
        <f t="shared" si="30"/>
        <v>55512.155477737091</v>
      </c>
      <c r="N136" s="255">
        <f t="shared" si="30"/>
        <v>56067.277032514459</v>
      </c>
      <c r="O136" s="255">
        <f t="shared" si="30"/>
        <v>56627.94980283959</v>
      </c>
      <c r="P136" s="255">
        <f t="shared" si="30"/>
        <v>57194.229300867992</v>
      </c>
      <c r="Q136" s="255">
        <f t="shared" si="30"/>
        <v>57766.171593876672</v>
      </c>
      <c r="R136" s="255">
        <f t="shared" si="30"/>
        <v>58343.83330981544</v>
      </c>
      <c r="S136" s="255">
        <f t="shared" si="30"/>
        <v>58927.271642913598</v>
      </c>
      <c r="T136" s="255">
        <f t="shared" si="30"/>
        <v>59516.544359342726</v>
      </c>
      <c r="U136" s="255">
        <f t="shared" si="30"/>
        <v>60111.709802936159</v>
      </c>
      <c r="V136" s="255">
        <f t="shared" si="30"/>
        <v>60712.826900965527</v>
      </c>
      <c r="W136" s="255">
        <f t="shared" si="30"/>
        <v>61319.955169975176</v>
      </c>
      <c r="X136" s="255">
        <f t="shared" si="30"/>
        <v>61933.154721674931</v>
      </c>
      <c r="Y136" s="255">
        <f t="shared" si="30"/>
        <v>62552.486268891669</v>
      </c>
      <c r="Z136" s="255">
        <f t="shared" si="30"/>
        <v>63178.011131580592</v>
      </c>
      <c r="AA136" s="255">
        <f t="shared" si="30"/>
        <v>63809.791242896412</v>
      </c>
      <c r="AB136" s="255">
        <f t="shared" si="30"/>
        <v>64447.889155325378</v>
      </c>
      <c r="AC136" s="268">
        <f t="shared" si="30"/>
        <v>65092.368046878626</v>
      </c>
      <c r="AD136" s="346">
        <f t="shared" si="31"/>
        <v>1344833.0160854473</v>
      </c>
    </row>
    <row r="137" spans="1:30" s="53" customFormat="1" ht="12">
      <c r="A137" s="44"/>
      <c r="B137" s="70"/>
      <c r="C137" s="224" t="s">
        <v>467</v>
      </c>
      <c r="D137" s="253">
        <f>D132-D134</f>
        <v>-9.7089041095890422E-2</v>
      </c>
      <c r="E137" s="217"/>
      <c r="F137" s="255">
        <f t="shared" si="30"/>
        <v>0</v>
      </c>
      <c r="G137" s="255">
        <f t="shared" si="30"/>
        <v>-2657.8125000000005</v>
      </c>
      <c r="H137" s="255">
        <f t="shared" si="30"/>
        <v>-2684.3906250000005</v>
      </c>
      <c r="I137" s="255">
        <f t="shared" si="30"/>
        <v>-2711.2345312500001</v>
      </c>
      <c r="J137" s="255">
        <f t="shared" si="30"/>
        <v>-2738.3468765625007</v>
      </c>
      <c r="K137" s="255">
        <f t="shared" si="30"/>
        <v>-2765.7303453281252</v>
      </c>
      <c r="L137" s="255">
        <f t="shared" si="30"/>
        <v>-2793.3876487814064</v>
      </c>
      <c r="M137" s="255">
        <f t="shared" si="30"/>
        <v>-2821.3215252692212</v>
      </c>
      <c r="N137" s="255">
        <f t="shared" si="30"/>
        <v>-2849.5347405219131</v>
      </c>
      <c r="O137" s="255">
        <f t="shared" si="30"/>
        <v>-2878.0300879271317</v>
      </c>
      <c r="P137" s="255">
        <f t="shared" si="30"/>
        <v>-2906.8103888064034</v>
      </c>
      <c r="Q137" s="255">
        <f t="shared" si="30"/>
        <v>-2935.8784926944672</v>
      </c>
      <c r="R137" s="255">
        <f t="shared" si="30"/>
        <v>-2965.237277621412</v>
      </c>
      <c r="S137" s="255">
        <f t="shared" si="30"/>
        <v>-2994.8896503976266</v>
      </c>
      <c r="T137" s="255">
        <f t="shared" si="30"/>
        <v>-3024.8385469016021</v>
      </c>
      <c r="U137" s="255">
        <f t="shared" si="30"/>
        <v>-3055.0869323706183</v>
      </c>
      <c r="V137" s="255">
        <f t="shared" si="30"/>
        <v>-3085.6378016943249</v>
      </c>
      <c r="W137" s="255">
        <f t="shared" si="30"/>
        <v>-3116.4941797112679</v>
      </c>
      <c r="X137" s="255">
        <f t="shared" si="30"/>
        <v>-3147.6591215083808</v>
      </c>
      <c r="Y137" s="255">
        <f t="shared" si="30"/>
        <v>-3179.1357127234642</v>
      </c>
      <c r="Z137" s="255">
        <f t="shared" si="30"/>
        <v>-3210.9270698506989</v>
      </c>
      <c r="AA137" s="255">
        <f t="shared" si="30"/>
        <v>-3243.0363405492067</v>
      </c>
      <c r="AB137" s="255">
        <f t="shared" si="30"/>
        <v>-3275.4667039546989</v>
      </c>
      <c r="AC137" s="268">
        <f t="shared" si="30"/>
        <v>-3308.2213709942457</v>
      </c>
      <c r="AD137" s="346">
        <f t="shared" si="31"/>
        <v>-68349.108470418738</v>
      </c>
    </row>
    <row r="138" spans="1:30" s="53" customFormat="1" ht="12">
      <c r="A138" s="44"/>
      <c r="B138" s="70"/>
      <c r="C138" s="224" t="s">
        <v>468</v>
      </c>
      <c r="D138" s="253">
        <f>D133-D134</f>
        <v>-0.14708904109589044</v>
      </c>
      <c r="E138" s="217"/>
      <c r="F138" s="255">
        <f t="shared" si="30"/>
        <v>0</v>
      </c>
      <c r="G138" s="255">
        <f t="shared" si="30"/>
        <v>-2684.3750000000005</v>
      </c>
      <c r="H138" s="255">
        <f t="shared" si="30"/>
        <v>-2711.2187500000005</v>
      </c>
      <c r="I138" s="255">
        <f t="shared" si="30"/>
        <v>-2738.3309375000008</v>
      </c>
      <c r="J138" s="255">
        <f t="shared" si="30"/>
        <v>-2765.7142468750008</v>
      </c>
      <c r="K138" s="255">
        <f t="shared" si="30"/>
        <v>-2793.3713893437507</v>
      </c>
      <c r="L138" s="255">
        <f t="shared" si="30"/>
        <v>-2821.3051032371877</v>
      </c>
      <c r="M138" s="255">
        <f t="shared" si="30"/>
        <v>-2849.51815426956</v>
      </c>
      <c r="N138" s="255">
        <f t="shared" si="30"/>
        <v>-2878.0133358122562</v>
      </c>
      <c r="O138" s="255">
        <f t="shared" si="30"/>
        <v>-2906.7934691703786</v>
      </c>
      <c r="P138" s="255">
        <f t="shared" si="30"/>
        <v>-2935.8614038620822</v>
      </c>
      <c r="Q138" s="255">
        <f t="shared" si="30"/>
        <v>-2965.2200179007032</v>
      </c>
      <c r="R138" s="255">
        <f t="shared" si="30"/>
        <v>-2994.8722180797099</v>
      </c>
      <c r="S138" s="255">
        <f t="shared" si="30"/>
        <v>-3024.8209402605075</v>
      </c>
      <c r="T138" s="255">
        <f t="shared" si="30"/>
        <v>-3055.0691496631125</v>
      </c>
      <c r="U138" s="255">
        <f t="shared" si="30"/>
        <v>-3085.6198411597434</v>
      </c>
      <c r="V138" s="255">
        <f t="shared" si="30"/>
        <v>-3116.4760395713411</v>
      </c>
      <c r="W138" s="255">
        <f t="shared" si="30"/>
        <v>-3147.6407999670546</v>
      </c>
      <c r="X138" s="255">
        <f t="shared" si="30"/>
        <v>-3179.1172079667249</v>
      </c>
      <c r="Y138" s="255">
        <f t="shared" si="30"/>
        <v>-3210.9083800463923</v>
      </c>
      <c r="Z138" s="255">
        <f t="shared" si="30"/>
        <v>-3243.0174638468561</v>
      </c>
      <c r="AA138" s="255">
        <f t="shared" si="30"/>
        <v>-3275.4476384853247</v>
      </c>
      <c r="AB138" s="255">
        <f t="shared" si="30"/>
        <v>-3308.2021148701783</v>
      </c>
      <c r="AC138" s="268">
        <f t="shared" si="30"/>
        <v>-3341.2841360188804</v>
      </c>
      <c r="AD138" s="346">
        <f t="shared" si="31"/>
        <v>-69032.197737906739</v>
      </c>
    </row>
    <row r="139" spans="1:30" s="53" customFormat="1" ht="12">
      <c r="A139" s="44"/>
      <c r="B139" s="70" t="s">
        <v>446</v>
      </c>
      <c r="C139" s="224" t="s">
        <v>470</v>
      </c>
      <c r="D139" s="253">
        <f>D130-D131-D134</f>
        <v>5.8860036870687518</v>
      </c>
      <c r="E139" s="217"/>
      <c r="F139" s="255">
        <f t="shared" si="30"/>
        <v>0</v>
      </c>
      <c r="G139" s="255">
        <f t="shared" si="30"/>
        <v>214839.13457800943</v>
      </c>
      <c r="H139" s="255">
        <f t="shared" si="30"/>
        <v>216987.52592378954</v>
      </c>
      <c r="I139" s="255">
        <f t="shared" si="30"/>
        <v>219157.40118302742</v>
      </c>
      <c r="J139" s="255">
        <f t="shared" si="30"/>
        <v>221348.97519485775</v>
      </c>
      <c r="K139" s="255">
        <f t="shared" si="30"/>
        <v>223562.46494680629</v>
      </c>
      <c r="L139" s="255">
        <f t="shared" si="30"/>
        <v>225798.08959627431</v>
      </c>
      <c r="M139" s="255">
        <f t="shared" si="30"/>
        <v>228056.07049223711</v>
      </c>
      <c r="N139" s="255">
        <f t="shared" si="30"/>
        <v>230336.63119715953</v>
      </c>
      <c r="O139" s="255">
        <f t="shared" si="30"/>
        <v>232639.99750913109</v>
      </c>
      <c r="P139" s="255">
        <f t="shared" si="30"/>
        <v>234966.3974842224</v>
      </c>
      <c r="Q139" s="255">
        <f t="shared" si="30"/>
        <v>237316.0614590646</v>
      </c>
      <c r="R139" s="255">
        <f t="shared" si="30"/>
        <v>239689.22207365526</v>
      </c>
      <c r="S139" s="255">
        <f t="shared" si="30"/>
        <v>242086.11429439185</v>
      </c>
      <c r="T139" s="255">
        <f t="shared" si="30"/>
        <v>244506.97543733576</v>
      </c>
      <c r="U139" s="255">
        <f t="shared" si="30"/>
        <v>246952.0451917091</v>
      </c>
      <c r="V139" s="255">
        <f t="shared" si="30"/>
        <v>249421.56564362618</v>
      </c>
      <c r="W139" s="255">
        <f t="shared" si="30"/>
        <v>251915.78130006246</v>
      </c>
      <c r="X139" s="255">
        <f t="shared" si="30"/>
        <v>254434.93911306307</v>
      </c>
      <c r="Y139" s="255">
        <f t="shared" si="30"/>
        <v>256979.28850419371</v>
      </c>
      <c r="Z139" s="255">
        <f t="shared" si="30"/>
        <v>259549.08138923565</v>
      </c>
      <c r="AA139" s="255">
        <f t="shared" si="30"/>
        <v>262144.57220312802</v>
      </c>
      <c r="AB139" s="255">
        <f t="shared" si="30"/>
        <v>264766.01792515931</v>
      </c>
      <c r="AC139" s="268">
        <f t="shared" si="30"/>
        <v>267413.67810441094</v>
      </c>
      <c r="AD139" s="346">
        <f t="shared" si="31"/>
        <v>5524868.0307445489</v>
      </c>
    </row>
    <row r="140" spans="1:30" s="53" customFormat="1" ht="12">
      <c r="A140" s="44"/>
      <c r="B140" s="70"/>
      <c r="C140" s="62" t="s">
        <v>589</v>
      </c>
      <c r="D140" s="253"/>
      <c r="E140" s="217"/>
      <c r="F140" s="289">
        <f t="shared" ref="F140:AC140" si="32">SUM(F135:F139)</f>
        <v>0</v>
      </c>
      <c r="G140" s="289">
        <f t="shared" si="32"/>
        <v>407671.65864450234</v>
      </c>
      <c r="H140" s="289">
        <f t="shared" si="32"/>
        <v>411748.37523094739</v>
      </c>
      <c r="I140" s="289">
        <f t="shared" si="32"/>
        <v>415865.85898325685</v>
      </c>
      <c r="J140" s="289">
        <f t="shared" si="32"/>
        <v>420024.51757308946</v>
      </c>
      <c r="K140" s="289">
        <f t="shared" si="32"/>
        <v>424224.76274882036</v>
      </c>
      <c r="L140" s="289">
        <f t="shared" si="32"/>
        <v>428467.01037630846</v>
      </c>
      <c r="M140" s="289">
        <f t="shared" si="32"/>
        <v>432751.68048007169</v>
      </c>
      <c r="N140" s="289">
        <f t="shared" si="32"/>
        <v>437079.19728487241</v>
      </c>
      <c r="O140" s="289">
        <f t="shared" si="32"/>
        <v>441449.98925772111</v>
      </c>
      <c r="P140" s="289">
        <f t="shared" si="32"/>
        <v>445864.48915029835</v>
      </c>
      <c r="Q140" s="289">
        <f t="shared" si="32"/>
        <v>450323.13404180133</v>
      </c>
      <c r="R140" s="289">
        <f t="shared" si="32"/>
        <v>454826.36538221932</v>
      </c>
      <c r="S140" s="289">
        <f t="shared" si="32"/>
        <v>459374.62903604156</v>
      </c>
      <c r="T140" s="289">
        <f t="shared" si="32"/>
        <v>463968.37532640196</v>
      </c>
      <c r="U140" s="289">
        <f t="shared" si="32"/>
        <v>468608.05907966592</v>
      </c>
      <c r="V140" s="289">
        <f t="shared" si="32"/>
        <v>473294.13967046258</v>
      </c>
      <c r="W140" s="289">
        <f t="shared" si="32"/>
        <v>478027.08106716722</v>
      </c>
      <c r="X140" s="289">
        <f t="shared" si="32"/>
        <v>482807.35187783896</v>
      </c>
      <c r="Y140" s="289">
        <f t="shared" si="32"/>
        <v>487635.42539661727</v>
      </c>
      <c r="Z140" s="289">
        <f t="shared" si="32"/>
        <v>492511.77965058351</v>
      </c>
      <c r="AA140" s="289">
        <f t="shared" si="32"/>
        <v>497436.89744708932</v>
      </c>
      <c r="AB140" s="289">
        <f t="shared" si="32"/>
        <v>502411.2664215602</v>
      </c>
      <c r="AC140" s="318">
        <f t="shared" si="32"/>
        <v>507435.37908577593</v>
      </c>
      <c r="AD140" s="347">
        <f t="shared" si="31"/>
        <v>10483807.423213113</v>
      </c>
    </row>
    <row r="141" spans="1:30" s="5" customFormat="1" ht="12">
      <c r="A141" s="58"/>
      <c r="B141" s="58"/>
      <c r="D141" s="212"/>
      <c r="E141" s="220"/>
      <c r="F141" s="88"/>
      <c r="G141" s="88"/>
      <c r="H141" s="88"/>
      <c r="I141" s="88"/>
      <c r="J141" s="88"/>
      <c r="K141" s="88"/>
      <c r="L141" s="88"/>
      <c r="M141" s="88"/>
      <c r="N141" s="88"/>
      <c r="O141" s="88"/>
      <c r="P141" s="88"/>
      <c r="Q141" s="88"/>
      <c r="R141" s="88"/>
      <c r="S141" s="88"/>
      <c r="T141" s="88"/>
      <c r="U141" s="88"/>
      <c r="V141" s="88"/>
      <c r="W141" s="88"/>
      <c r="X141" s="88"/>
      <c r="Y141" s="88"/>
      <c r="AC141" s="269"/>
      <c r="AD141" s="352"/>
    </row>
    <row r="142" spans="1:30" s="70" customFormat="1" ht="12">
      <c r="A142" s="55"/>
      <c r="B142" s="55"/>
      <c r="C142" s="62"/>
      <c r="D142" s="210"/>
      <c r="E142" s="221"/>
      <c r="F142" s="55"/>
      <c r="G142" s="67"/>
      <c r="H142" s="53"/>
      <c r="I142" s="53"/>
      <c r="J142" s="53"/>
      <c r="K142" s="53"/>
      <c r="L142" s="53"/>
      <c r="M142" s="53"/>
      <c r="N142" s="53"/>
      <c r="O142" s="53"/>
      <c r="P142" s="53"/>
      <c r="Q142" s="53"/>
      <c r="R142" s="53"/>
      <c r="S142" s="53"/>
      <c r="T142" s="53"/>
      <c r="U142" s="53"/>
      <c r="AC142" s="270"/>
      <c r="AD142" s="353"/>
    </row>
    <row r="143" spans="1:30" s="53" customFormat="1" ht="12">
      <c r="A143" s="64" t="s">
        <v>343</v>
      </c>
      <c r="B143" s="64"/>
      <c r="D143" s="209"/>
      <c r="E143" s="217"/>
      <c r="F143" s="45"/>
      <c r="G143" s="57"/>
      <c r="AC143" s="263"/>
      <c r="AD143" s="338"/>
    </row>
    <row r="144" spans="1:30" s="53" customFormat="1" ht="12">
      <c r="A144" s="64"/>
      <c r="B144" s="64"/>
      <c r="D144" s="209"/>
      <c r="E144" s="217"/>
      <c r="F144" s="45"/>
      <c r="G144" s="57"/>
      <c r="AC144" s="263"/>
      <c r="AD144" s="338"/>
    </row>
    <row r="145" spans="1:30" s="53" customFormat="1" ht="12">
      <c r="A145" s="45"/>
      <c r="B145" s="45"/>
      <c r="C145" s="64" t="s">
        <v>94</v>
      </c>
      <c r="D145" s="209"/>
      <c r="E145" s="217"/>
      <c r="F145" s="45"/>
      <c r="G145" s="57"/>
      <c r="AC145" s="263"/>
      <c r="AD145" s="338"/>
    </row>
    <row r="146" spans="1:30" s="53" customFormat="1" ht="12">
      <c r="A146" s="45"/>
      <c r="B146" s="45"/>
      <c r="C146" s="55" t="s">
        <v>484</v>
      </c>
      <c r="D146" s="259">
        <v>0.5</v>
      </c>
      <c r="E146" s="217"/>
      <c r="F146" s="45"/>
      <c r="G146" s="57"/>
      <c r="AC146" s="263"/>
      <c r="AD146" s="338"/>
    </row>
    <row r="147" spans="1:30" s="53" customFormat="1" ht="12">
      <c r="A147" s="45"/>
      <c r="B147" s="45"/>
      <c r="C147" s="78"/>
      <c r="D147" s="209"/>
      <c r="E147" s="217"/>
      <c r="F147" s="45"/>
      <c r="G147" s="57"/>
      <c r="AC147" s="263"/>
      <c r="AD147" s="338"/>
    </row>
    <row r="148" spans="1:30" s="53" customFormat="1" ht="12">
      <c r="A148" s="44"/>
      <c r="B148" s="5" t="s">
        <v>351</v>
      </c>
      <c r="C148" s="78" t="s">
        <v>402</v>
      </c>
      <c r="D148" s="253"/>
      <c r="E148" s="217"/>
      <c r="F148" s="45">
        <f>F12</f>
        <v>0</v>
      </c>
      <c r="G148" s="45">
        <f t="shared" ref="G148:AC148" si="33">G12</f>
        <v>0</v>
      </c>
      <c r="H148" s="45">
        <f t="shared" si="33"/>
        <v>36576.61424739223</v>
      </c>
      <c r="I148" s="45">
        <f t="shared" si="33"/>
        <v>36320.256792855042</v>
      </c>
      <c r="J148" s="45">
        <f t="shared" si="33"/>
        <v>36063.899338317846</v>
      </c>
      <c r="K148" s="45">
        <f t="shared" si="33"/>
        <v>35807.54188378065</v>
      </c>
      <c r="L148" s="45">
        <f t="shared" si="33"/>
        <v>35551.184429243447</v>
      </c>
      <c r="M148" s="45">
        <f t="shared" si="33"/>
        <v>35294.826974706259</v>
      </c>
      <c r="N148" s="45">
        <f t="shared" si="33"/>
        <v>35815.369486241631</v>
      </c>
      <c r="O148" s="45">
        <f t="shared" si="33"/>
        <v>36335.911997777002</v>
      </c>
      <c r="P148" s="45">
        <f t="shared" si="33"/>
        <v>36856.454509312374</v>
      </c>
      <c r="Q148" s="45">
        <f t="shared" si="33"/>
        <v>37376.997020847746</v>
      </c>
      <c r="R148" s="45">
        <f t="shared" si="33"/>
        <v>37897.539532383111</v>
      </c>
      <c r="S148" s="45">
        <f t="shared" si="33"/>
        <v>38418.082043918483</v>
      </c>
      <c r="T148" s="45">
        <f t="shared" si="33"/>
        <v>38938.624555453862</v>
      </c>
      <c r="U148" s="45">
        <f t="shared" si="33"/>
        <v>39459.167066989226</v>
      </c>
      <c r="V148" s="45">
        <f t="shared" si="33"/>
        <v>39979.709578524613</v>
      </c>
      <c r="W148" s="45">
        <f t="shared" si="33"/>
        <v>40500.252090059977</v>
      </c>
      <c r="X148" s="45">
        <f t="shared" si="33"/>
        <v>41097.682325304908</v>
      </c>
      <c r="Y148" s="45">
        <f t="shared" si="33"/>
        <v>41695.112560549838</v>
      </c>
      <c r="Z148" s="45">
        <f t="shared" si="33"/>
        <v>42292.542795794769</v>
      </c>
      <c r="AA148" s="45">
        <f t="shared" si="33"/>
        <v>42889.973031039706</v>
      </c>
      <c r="AB148" s="45">
        <f t="shared" si="33"/>
        <v>43487.403266284637</v>
      </c>
      <c r="AC148" s="263">
        <f t="shared" si="33"/>
        <v>44084.833501529574</v>
      </c>
      <c r="AD148" s="338">
        <f t="shared" si="31"/>
        <v>852739.97902830679</v>
      </c>
    </row>
    <row r="149" spans="1:30" s="53" customFormat="1" ht="12">
      <c r="A149" s="44"/>
      <c r="B149" s="5"/>
      <c r="C149" s="299" t="s">
        <v>155</v>
      </c>
      <c r="D149" s="253"/>
      <c r="E149" s="217"/>
      <c r="F149" s="255">
        <f>$D$146*F64</f>
        <v>-2.7399869947017055</v>
      </c>
      <c r="G149" s="255">
        <f t="shared" ref="G149:AC149" si="34">$D$146*G64</f>
        <v>-2.7333973188679828</v>
      </c>
      <c r="H149" s="255">
        <f t="shared" si="34"/>
        <v>-2.7267623235960232</v>
      </c>
      <c r="I149" s="255">
        <f t="shared" si="34"/>
        <v>-2.7200815397568996</v>
      </c>
      <c r="J149" s="255">
        <f t="shared" si="34"/>
        <v>-2.7133544917242824</v>
      </c>
      <c r="K149" s="255">
        <f t="shared" si="34"/>
        <v>-2.7065806972615634</v>
      </c>
      <c r="L149" s="255">
        <f t="shared" si="34"/>
        <v>-2.699759667406616</v>
      </c>
      <c r="M149" s="255">
        <f t="shared" si="34"/>
        <v>-2.6928909063541395</v>
      </c>
      <c r="N149" s="255">
        <f t="shared" si="34"/>
        <v>-2.6859739113355241</v>
      </c>
      <c r="O149" s="255">
        <f t="shared" si="34"/>
        <v>-2.6790081724961747</v>
      </c>
      <c r="P149" s="255">
        <f t="shared" si="34"/>
        <v>-2.6719931727702315</v>
      </c>
      <c r="Q149" s="255">
        <f t="shared" si="34"/>
        <v>-2.6649283877526266</v>
      </c>
      <c r="R149" s="255">
        <f t="shared" si="34"/>
        <v>-2.6578132855684031</v>
      </c>
      <c r="S149" s="255">
        <f t="shared" si="34"/>
        <v>-2.6506473267392354</v>
      </c>
      <c r="T149" s="255">
        <f t="shared" si="34"/>
        <v>-2.643429964047074</v>
      </c>
      <c r="U149" s="255">
        <f t="shared" si="34"/>
        <v>-2.636160642394846</v>
      </c>
      <c r="V149" s="255">
        <f t="shared" si="34"/>
        <v>-2.6288387986641406</v>
      </c>
      <c r="W149" s="255">
        <f t="shared" si="34"/>
        <v>-2.6214638615697905</v>
      </c>
      <c r="X149" s="255">
        <f t="shared" si="34"/>
        <v>-2.6140352515112846</v>
      </c>
      <c r="Y149" s="255">
        <f t="shared" si="34"/>
        <v>-2.6065523804209234</v>
      </c>
      <c r="Z149" s="255">
        <f t="shared" si="34"/>
        <v>-2.599014651608635</v>
      </c>
      <c r="AA149" s="255">
        <f t="shared" si="34"/>
        <v>-2.591421459603362</v>
      </c>
      <c r="AB149" s="255">
        <f t="shared" si="34"/>
        <v>-2.5837721899909405</v>
      </c>
      <c r="AC149" s="268">
        <f t="shared" si="34"/>
        <v>-2.5760662192483688</v>
      </c>
      <c r="AD149" s="346">
        <f t="shared" si="31"/>
        <v>-63.843933615390767</v>
      </c>
    </row>
    <row r="150" spans="1:30" s="53" customFormat="1" ht="12">
      <c r="A150" s="44"/>
      <c r="B150" s="70"/>
      <c r="C150" s="78" t="s">
        <v>401</v>
      </c>
      <c r="D150" s="253"/>
      <c r="E150" s="217"/>
      <c r="F150" s="255">
        <f>F149*F148</f>
        <v>0</v>
      </c>
      <c r="G150" s="255">
        <f t="shared" ref="G150:AC150" si="35">G149*G148</f>
        <v>0</v>
      </c>
      <c r="H150" s="255">
        <f t="shared" si="35"/>
        <v>-99735.733654494645</v>
      </c>
      <c r="I150" s="255">
        <f t="shared" si="35"/>
        <v>-98794.060021475132</v>
      </c>
      <c r="J150" s="255">
        <f t="shared" si="35"/>
        <v>-97854.1432587171</v>
      </c>
      <c r="K150" s="255">
        <f t="shared" si="35"/>
        <v>-96916.001679025663</v>
      </c>
      <c r="L150" s="255">
        <f t="shared" si="35"/>
        <v>-95979.653850605551</v>
      </c>
      <c r="M150" s="255">
        <f t="shared" si="35"/>
        <v>-95045.118601529262</v>
      </c>
      <c r="N150" s="255">
        <f t="shared" si="35"/>
        <v>-96199.148064887413</v>
      </c>
      <c r="O150" s="255">
        <f t="shared" si="35"/>
        <v>-97344.205197146395</v>
      </c>
      <c r="P150" s="255">
        <f t="shared" si="35"/>
        <v>-98480.194821399273</v>
      </c>
      <c r="Q150" s="255">
        <f t="shared" si="35"/>
        <v>-99607.020409802513</v>
      </c>
      <c r="R150" s="255">
        <f t="shared" si="35"/>
        <v>-100724.5840595216</v>
      </c>
      <c r="S150" s="255">
        <f t="shared" si="35"/>
        <v>-101832.78646816115</v>
      </c>
      <c r="T150" s="255">
        <f t="shared" si="35"/>
        <v>-102931.52690866591</v>
      </c>
      <c r="U150" s="255">
        <f t="shared" si="35"/>
        <v>-104020.70320367988</v>
      </c>
      <c r="V150" s="255">
        <f t="shared" si="35"/>
        <v>-105100.21169934988</v>
      </c>
      <c r="W150" s="255">
        <f t="shared" si="35"/>
        <v>-106169.94723855861</v>
      </c>
      <c r="X150" s="255">
        <f t="shared" si="35"/>
        <v>-107430.79035375929</v>
      </c>
      <c r="Y150" s="255">
        <f t="shared" si="35"/>
        <v>-108680.49489661952</v>
      </c>
      <c r="Z150" s="255">
        <f t="shared" si="35"/>
        <v>-109918.93838005583</v>
      </c>
      <c r="AA150" s="255">
        <f t="shared" si="35"/>
        <v>-111145.99651444575</v>
      </c>
      <c r="AB150" s="255">
        <f t="shared" si="35"/>
        <v>-112361.54317434743</v>
      </c>
      <c r="AC150" s="268">
        <f t="shared" si="35"/>
        <v>-113565.45036447911</v>
      </c>
      <c r="AD150" s="346">
        <f t="shared" si="31"/>
        <v>-2259838.2528207269</v>
      </c>
    </row>
    <row r="151" spans="1:30" s="53" customFormat="1" ht="12">
      <c r="A151" s="44"/>
      <c r="B151" s="70"/>
      <c r="C151" s="78" t="s">
        <v>475</v>
      </c>
      <c r="D151" s="253">
        <f>$D$146*(D72)</f>
        <v>3.0165463640823211</v>
      </c>
      <c r="E151" s="217"/>
      <c r="F151" s="255">
        <f>$D151*F148</f>
        <v>0</v>
      </c>
      <c r="G151" s="255">
        <f t="shared" ref="G151:AC151" si="36">$D151*G148</f>
        <v>0</v>
      </c>
      <c r="H151" s="255">
        <f t="shared" si="36"/>
        <v>110335.05271841265</v>
      </c>
      <c r="I151" s="255">
        <f t="shared" si="36"/>
        <v>109561.7385710231</v>
      </c>
      <c r="J151" s="255">
        <f t="shared" si="36"/>
        <v>108788.42442363352</v>
      </c>
      <c r="K151" s="255">
        <f t="shared" si="36"/>
        <v>108015.11027624396</v>
      </c>
      <c r="L151" s="255">
        <f t="shared" si="36"/>
        <v>107241.79612885434</v>
      </c>
      <c r="M151" s="255">
        <f t="shared" si="36"/>
        <v>106468.48198146479</v>
      </c>
      <c r="N151" s="255">
        <f t="shared" si="36"/>
        <v>108038.7226019871</v>
      </c>
      <c r="O151" s="255">
        <f t="shared" si="36"/>
        <v>109608.96322250941</v>
      </c>
      <c r="P151" s="255">
        <f t="shared" si="36"/>
        <v>111179.20384303172</v>
      </c>
      <c r="Q151" s="255">
        <f t="shared" si="36"/>
        <v>112749.44446355401</v>
      </c>
      <c r="R151" s="255">
        <f t="shared" si="36"/>
        <v>114319.68508407631</v>
      </c>
      <c r="S151" s="255">
        <f t="shared" si="36"/>
        <v>115889.9257045986</v>
      </c>
      <c r="T151" s="255">
        <f t="shared" si="36"/>
        <v>117460.16632512094</v>
      </c>
      <c r="U151" s="255">
        <f t="shared" si="36"/>
        <v>119030.40694564322</v>
      </c>
      <c r="V151" s="255">
        <f t="shared" si="36"/>
        <v>120600.64756616557</v>
      </c>
      <c r="W151" s="255">
        <f t="shared" si="36"/>
        <v>122170.88818668785</v>
      </c>
      <c r="X151" s="255">
        <f t="shared" si="36"/>
        <v>123973.0641906088</v>
      </c>
      <c r="Y151" s="255">
        <f t="shared" si="36"/>
        <v>125775.24019452973</v>
      </c>
      <c r="Z151" s="255">
        <f t="shared" si="36"/>
        <v>127577.41619845068</v>
      </c>
      <c r="AA151" s="255">
        <f t="shared" si="36"/>
        <v>129379.59220237164</v>
      </c>
      <c r="AB151" s="255">
        <f t="shared" si="36"/>
        <v>131181.76820629259</v>
      </c>
      <c r="AC151" s="268">
        <f t="shared" si="36"/>
        <v>132983.94421021355</v>
      </c>
      <c r="AD151" s="346">
        <f t="shared" si="31"/>
        <v>2572329.683245474</v>
      </c>
    </row>
    <row r="152" spans="1:30" s="53" customFormat="1" ht="12">
      <c r="A152" s="45"/>
      <c r="B152" s="45"/>
      <c r="C152" s="78"/>
      <c r="D152" s="253"/>
      <c r="E152" s="217"/>
      <c r="F152" s="255"/>
      <c r="G152" s="255"/>
      <c r="H152" s="255"/>
      <c r="I152" s="255"/>
      <c r="J152" s="255"/>
      <c r="K152" s="255"/>
      <c r="L152" s="255"/>
      <c r="M152" s="255"/>
      <c r="N152" s="255"/>
      <c r="O152" s="255"/>
      <c r="P152" s="255"/>
      <c r="Q152" s="255"/>
      <c r="R152" s="255"/>
      <c r="S152" s="255"/>
      <c r="T152" s="255"/>
      <c r="U152" s="255"/>
      <c r="V152" s="255"/>
      <c r="W152" s="255"/>
      <c r="X152" s="255"/>
      <c r="Y152" s="255"/>
      <c r="Z152" s="255"/>
      <c r="AA152" s="255"/>
      <c r="AB152" s="255"/>
      <c r="AC152" s="268"/>
      <c r="AD152" s="346"/>
    </row>
    <row r="153" spans="1:30" s="53" customFormat="1" ht="12">
      <c r="A153" s="45"/>
      <c r="B153" s="5" t="s">
        <v>261</v>
      </c>
      <c r="C153" s="78"/>
      <c r="D153" s="253"/>
      <c r="E153" s="217"/>
      <c r="F153" s="255"/>
      <c r="G153" s="255"/>
      <c r="H153" s="255"/>
      <c r="I153" s="255"/>
      <c r="J153" s="255"/>
      <c r="K153" s="255"/>
      <c r="L153" s="255"/>
      <c r="M153" s="255"/>
      <c r="N153" s="255"/>
      <c r="O153" s="255"/>
      <c r="P153" s="255"/>
      <c r="Q153" s="255"/>
      <c r="R153" s="255"/>
      <c r="S153" s="255"/>
      <c r="T153" s="255"/>
      <c r="U153" s="255"/>
      <c r="V153" s="255"/>
      <c r="W153" s="255"/>
      <c r="X153" s="255"/>
      <c r="Y153" s="255"/>
      <c r="Z153" s="255"/>
      <c r="AA153" s="255"/>
      <c r="AB153" s="255"/>
      <c r="AC153" s="268"/>
      <c r="AD153" s="346"/>
    </row>
    <row r="154" spans="1:30" s="53" customFormat="1" ht="12">
      <c r="A154" s="44"/>
      <c r="B154" s="5"/>
      <c r="C154" s="78" t="s">
        <v>411</v>
      </c>
      <c r="D154" s="253"/>
      <c r="E154" s="217"/>
      <c r="F154" s="45">
        <f>F17</f>
        <v>0</v>
      </c>
      <c r="G154" s="45">
        <f t="shared" ref="G154:AC154" si="37">G17</f>
        <v>0</v>
      </c>
      <c r="H154" s="45">
        <f t="shared" si="37"/>
        <v>1708.3419316787274</v>
      </c>
      <c r="I154" s="45">
        <f t="shared" si="37"/>
        <v>1696.3685383481641</v>
      </c>
      <c r="J154" s="45">
        <f t="shared" si="37"/>
        <v>1684.3951450176007</v>
      </c>
      <c r="K154" s="45">
        <f t="shared" si="37"/>
        <v>1672.4217516870376</v>
      </c>
      <c r="L154" s="45">
        <f t="shared" si="37"/>
        <v>1660.448358356474</v>
      </c>
      <c r="M154" s="45">
        <f t="shared" si="37"/>
        <v>1648.4749650259107</v>
      </c>
      <c r="N154" s="45">
        <f t="shared" si="37"/>
        <v>1672.7873465290904</v>
      </c>
      <c r="O154" s="45">
        <f t="shared" si="37"/>
        <v>1697.0997280322697</v>
      </c>
      <c r="P154" s="45">
        <f t="shared" si="37"/>
        <v>1721.4121095354494</v>
      </c>
      <c r="Q154" s="45">
        <f t="shared" si="37"/>
        <v>1745.7244910386291</v>
      </c>
      <c r="R154" s="45">
        <f t="shared" si="37"/>
        <v>1770.0368725418084</v>
      </c>
      <c r="S154" s="45">
        <f t="shared" si="37"/>
        <v>1794.3492540449879</v>
      </c>
      <c r="T154" s="45">
        <f t="shared" si="37"/>
        <v>1818.6616355481674</v>
      </c>
      <c r="U154" s="45">
        <f t="shared" si="37"/>
        <v>1842.9740170513476</v>
      </c>
      <c r="V154" s="45">
        <f t="shared" si="37"/>
        <v>1867.2863985545271</v>
      </c>
      <c r="W154" s="45">
        <f t="shared" si="37"/>
        <v>1891.5987800577068</v>
      </c>
      <c r="X154" s="45">
        <f t="shared" si="37"/>
        <v>1919.5022682050371</v>
      </c>
      <c r="Y154" s="45">
        <f t="shared" si="37"/>
        <v>1947.4057563523684</v>
      </c>
      <c r="Z154" s="45">
        <f t="shared" si="37"/>
        <v>1975.3092444996989</v>
      </c>
      <c r="AA154" s="45">
        <f t="shared" si="37"/>
        <v>2003.2127326470302</v>
      </c>
      <c r="AB154" s="45">
        <f t="shared" si="37"/>
        <v>2031.116220794361</v>
      </c>
      <c r="AC154" s="263">
        <f t="shared" si="37"/>
        <v>2059.019708941692</v>
      </c>
      <c r="AD154" s="338">
        <f t="shared" si="31"/>
        <v>39827.947254488085</v>
      </c>
    </row>
    <row r="155" spans="1:30" s="53" customFormat="1" ht="12">
      <c r="A155" s="44"/>
      <c r="B155" s="5"/>
      <c r="C155" s="78" t="s">
        <v>427</v>
      </c>
      <c r="D155" s="253"/>
      <c r="E155" s="217"/>
      <c r="F155" s="255">
        <f>F91*$D$146</f>
        <v>-1.0579557447017054</v>
      </c>
      <c r="G155" s="255">
        <f t="shared" ref="G155:AC155" si="38">G91*$D$146</f>
        <v>-1.0513660688679827</v>
      </c>
      <c r="H155" s="255">
        <f t="shared" si="38"/>
        <v>-1.0447310735960231</v>
      </c>
      <c r="I155" s="255">
        <f t="shared" si="38"/>
        <v>-1.0380502897568995</v>
      </c>
      <c r="J155" s="255">
        <f t="shared" si="38"/>
        <v>-1.0313232417242824</v>
      </c>
      <c r="K155" s="255">
        <f t="shared" si="38"/>
        <v>-1.0245494472615633</v>
      </c>
      <c r="L155" s="255">
        <f t="shared" si="38"/>
        <v>-1.0177284174066159</v>
      </c>
      <c r="M155" s="255">
        <f t="shared" si="38"/>
        <v>-1.0108596563541394</v>
      </c>
      <c r="N155" s="255">
        <f t="shared" si="38"/>
        <v>-1.003942661335524</v>
      </c>
      <c r="O155" s="255">
        <f t="shared" si="38"/>
        <v>-0.99697692249617464</v>
      </c>
      <c r="P155" s="255">
        <f t="shared" si="38"/>
        <v>-0.98996192277023143</v>
      </c>
      <c r="Q155" s="255">
        <f t="shared" si="38"/>
        <v>-0.98289713775262655</v>
      </c>
      <c r="R155" s="255">
        <f t="shared" si="38"/>
        <v>-0.97578203556840304</v>
      </c>
      <c r="S155" s="255">
        <f t="shared" si="38"/>
        <v>-0.96861607673923533</v>
      </c>
      <c r="T155" s="255">
        <f t="shared" si="38"/>
        <v>-0.96139871404707389</v>
      </c>
      <c r="U155" s="255">
        <f t="shared" si="38"/>
        <v>-0.95412939239484595</v>
      </c>
      <c r="V155" s="255">
        <f t="shared" si="38"/>
        <v>-0.94680754866414052</v>
      </c>
      <c r="W155" s="255">
        <f t="shared" si="38"/>
        <v>-0.93943261156979041</v>
      </c>
      <c r="X155" s="255">
        <f t="shared" si="38"/>
        <v>-0.93200400151128449</v>
      </c>
      <c r="Y155" s="255">
        <f t="shared" si="38"/>
        <v>-0.92452113042092332</v>
      </c>
      <c r="Z155" s="255">
        <f t="shared" si="38"/>
        <v>-0.9169834016086349</v>
      </c>
      <c r="AA155" s="255">
        <f t="shared" si="38"/>
        <v>-0.90939020960336192</v>
      </c>
      <c r="AB155" s="255">
        <f t="shared" si="38"/>
        <v>-0.9017409399909404</v>
      </c>
      <c r="AC155" s="268">
        <f t="shared" si="38"/>
        <v>-0.89403496924836867</v>
      </c>
      <c r="AD155" s="346">
        <f t="shared" si="31"/>
        <v>-23.475183615390776</v>
      </c>
    </row>
    <row r="156" spans="1:30" s="53" customFormat="1" ht="12">
      <c r="A156" s="44"/>
      <c r="B156" s="5"/>
      <c r="C156" s="299" t="s">
        <v>155</v>
      </c>
      <c r="D156" s="253"/>
      <c r="E156" s="217"/>
      <c r="F156" s="255">
        <f>F155*F154</f>
        <v>0</v>
      </c>
      <c r="G156" s="255">
        <f t="shared" ref="G156:AC156" si="39">G155*G154</f>
        <v>0</v>
      </c>
      <c r="H156" s="255">
        <f t="shared" si="39"/>
        <v>-1784.7579003518208</v>
      </c>
      <c r="I156" s="255">
        <f t="shared" si="39"/>
        <v>-1760.9158527667998</v>
      </c>
      <c r="J156" s="255">
        <f t="shared" si="39"/>
        <v>-1737.1558613041946</v>
      </c>
      <c r="K156" s="255">
        <f t="shared" si="39"/>
        <v>-1713.4787812791699</v>
      </c>
      <c r="L156" s="255">
        <f t="shared" si="39"/>
        <v>-1689.8854799355477</v>
      </c>
      <c r="M156" s="255">
        <f t="shared" si="39"/>
        <v>-1666.3768366544941</v>
      </c>
      <c r="N156" s="255">
        <f t="shared" si="39"/>
        <v>-1679.3825805228046</v>
      </c>
      <c r="O156" s="255">
        <f t="shared" si="39"/>
        <v>-1691.9692640227072</v>
      </c>
      <c r="P156" s="255">
        <f t="shared" si="39"/>
        <v>-1704.1324418356737</v>
      </c>
      <c r="Q156" s="255">
        <f t="shared" si="39"/>
        <v>-1715.8676055465294</v>
      </c>
      <c r="R156" s="255">
        <f t="shared" si="39"/>
        <v>-1727.1701825199757</v>
      </c>
      <c r="S156" s="255">
        <f t="shared" si="39"/>
        <v>-1738.0355347530297</v>
      </c>
      <c r="T156" s="255">
        <f t="shared" si="39"/>
        <v>-1748.4589577027564</v>
      </c>
      <c r="U156" s="255">
        <f t="shared" si="39"/>
        <v>-1758.4356790886907</v>
      </c>
      <c r="V156" s="255">
        <f t="shared" si="39"/>
        <v>-1767.9608576693031</v>
      </c>
      <c r="W156" s="255">
        <f t="shared" si="39"/>
        <v>-1777.029581991841</v>
      </c>
      <c r="X156" s="255">
        <f t="shared" si="39"/>
        <v>-1788.9837948770814</v>
      </c>
      <c r="Y156" s="255">
        <f t="shared" si="39"/>
        <v>-1800.4177712511048</v>
      </c>
      <c r="Z156" s="255">
        <f t="shared" si="39"/>
        <v>-1811.3257902503167</v>
      </c>
      <c r="AA156" s="255">
        <f t="shared" si="39"/>
        <v>-1821.7020468220062</v>
      </c>
      <c r="AB156" s="255">
        <f t="shared" si="39"/>
        <v>-1831.5406501699536</v>
      </c>
      <c r="AC156" s="268">
        <f t="shared" si="39"/>
        <v>-1840.8356221654706</v>
      </c>
      <c r="AD156" s="346">
        <f t="shared" si="31"/>
        <v>-38555.819073481267</v>
      </c>
    </row>
    <row r="157" spans="1:30" s="53" customFormat="1" ht="12">
      <c r="A157" s="44"/>
      <c r="B157" s="5"/>
      <c r="C157" s="78" t="s">
        <v>428</v>
      </c>
      <c r="D157" s="253">
        <f>D99</f>
        <v>5.9830927281646424</v>
      </c>
      <c r="E157" s="217"/>
      <c r="F157" s="255">
        <f>$D157*F154</f>
        <v>0</v>
      </c>
      <c r="G157" s="255">
        <f t="shared" ref="G157:AC157" si="40">$D157*G154</f>
        <v>0</v>
      </c>
      <c r="H157" s="255">
        <f t="shared" si="40"/>
        <v>10221.168188645732</v>
      </c>
      <c r="I157" s="255">
        <f t="shared" si="40"/>
        <v>10149.530266078184</v>
      </c>
      <c r="J157" s="255">
        <f t="shared" si="40"/>
        <v>10077.892343510635</v>
      </c>
      <c r="K157" s="255">
        <f t="shared" si="40"/>
        <v>10006.254420943089</v>
      </c>
      <c r="L157" s="255">
        <f t="shared" si="40"/>
        <v>9934.6164983755389</v>
      </c>
      <c r="M157" s="255">
        <f t="shared" si="40"/>
        <v>9862.9785758079888</v>
      </c>
      <c r="N157" s="255">
        <f t="shared" si="40"/>
        <v>10008.441808784029</v>
      </c>
      <c r="O157" s="255">
        <f t="shared" si="40"/>
        <v>10153.905041760065</v>
      </c>
      <c r="P157" s="255">
        <f t="shared" si="40"/>
        <v>10299.368274736104</v>
      </c>
      <c r="Q157" s="255">
        <f t="shared" si="40"/>
        <v>10444.831507712144</v>
      </c>
      <c r="R157" s="255">
        <f t="shared" si="40"/>
        <v>10590.294740688179</v>
      </c>
      <c r="S157" s="255">
        <f t="shared" si="40"/>
        <v>10735.757973664218</v>
      </c>
      <c r="T157" s="255">
        <f t="shared" si="40"/>
        <v>10881.221206640255</v>
      </c>
      <c r="U157" s="255">
        <f t="shared" si="40"/>
        <v>11026.684439616298</v>
      </c>
      <c r="V157" s="255">
        <f t="shared" si="40"/>
        <v>11172.147672592335</v>
      </c>
      <c r="W157" s="255">
        <f t="shared" si="40"/>
        <v>11317.610905568374</v>
      </c>
      <c r="X157" s="255">
        <f t="shared" si="40"/>
        <v>11484.560062593095</v>
      </c>
      <c r="Y157" s="255">
        <f t="shared" si="40"/>
        <v>11651.509219617821</v>
      </c>
      <c r="Z157" s="255">
        <f t="shared" si="40"/>
        <v>11818.458376642542</v>
      </c>
      <c r="AA157" s="255">
        <f t="shared" si="40"/>
        <v>11985.407533667269</v>
      </c>
      <c r="AB157" s="255">
        <f t="shared" si="40"/>
        <v>12152.356690691991</v>
      </c>
      <c r="AC157" s="268">
        <f t="shared" si="40"/>
        <v>12319.305847716716</v>
      </c>
      <c r="AD157" s="346">
        <f t="shared" si="31"/>
        <v>238294.3015960526</v>
      </c>
    </row>
    <row r="158" spans="1:30" s="53" customFormat="1" ht="12">
      <c r="A158" s="45"/>
      <c r="B158" s="5" t="s">
        <v>397</v>
      </c>
      <c r="C158" s="64"/>
      <c r="D158" s="253"/>
      <c r="E158" s="217"/>
      <c r="F158" s="255"/>
      <c r="G158" s="255"/>
      <c r="H158" s="255"/>
      <c r="I158" s="255"/>
      <c r="J158" s="255"/>
      <c r="K158" s="255"/>
      <c r="L158" s="255"/>
      <c r="M158" s="255"/>
      <c r="N158" s="255"/>
      <c r="O158" s="255"/>
      <c r="P158" s="255"/>
      <c r="Q158" s="255"/>
      <c r="R158" s="255"/>
      <c r="S158" s="255"/>
      <c r="T158" s="255"/>
      <c r="U158" s="255"/>
      <c r="V158" s="255"/>
      <c r="W158" s="255"/>
      <c r="X158" s="255"/>
      <c r="Y158" s="255"/>
      <c r="Z158" s="255"/>
      <c r="AA158" s="255"/>
      <c r="AB158" s="255"/>
      <c r="AC158" s="268"/>
      <c r="AD158" s="346"/>
    </row>
    <row r="159" spans="1:30" s="53" customFormat="1" ht="12">
      <c r="A159" s="44"/>
      <c r="B159" s="70" t="s">
        <v>447</v>
      </c>
      <c r="C159" s="47" t="s">
        <v>152</v>
      </c>
      <c r="D159" s="253"/>
      <c r="E159" s="217"/>
      <c r="F159" s="45">
        <f>F24</f>
        <v>0</v>
      </c>
      <c r="G159" s="45">
        <f t="shared" ref="G159:AC159" si="41">G24</f>
        <v>18250</v>
      </c>
      <c r="H159" s="45">
        <f t="shared" si="41"/>
        <v>18432.5</v>
      </c>
      <c r="I159" s="45">
        <f t="shared" si="41"/>
        <v>18616.825000000001</v>
      </c>
      <c r="J159" s="45">
        <f t="shared" si="41"/>
        <v>18802.993250000003</v>
      </c>
      <c r="K159" s="45">
        <f t="shared" si="41"/>
        <v>18991.023182500001</v>
      </c>
      <c r="L159" s="45">
        <f t="shared" si="41"/>
        <v>19180.933414324998</v>
      </c>
      <c r="M159" s="45">
        <f t="shared" si="41"/>
        <v>19372.742748468252</v>
      </c>
      <c r="N159" s="45">
        <f t="shared" si="41"/>
        <v>19566.470175952938</v>
      </c>
      <c r="O159" s="45">
        <f t="shared" si="41"/>
        <v>19762.134877712466</v>
      </c>
      <c r="P159" s="45">
        <f t="shared" si="41"/>
        <v>19959.75622648959</v>
      </c>
      <c r="Q159" s="45">
        <f t="shared" si="41"/>
        <v>20159.353788754484</v>
      </c>
      <c r="R159" s="45">
        <f t="shared" si="41"/>
        <v>20360.947326642028</v>
      </c>
      <c r="S159" s="45">
        <f t="shared" si="41"/>
        <v>20564.556799908452</v>
      </c>
      <c r="T159" s="45">
        <f t="shared" si="41"/>
        <v>20770.202367907536</v>
      </c>
      <c r="U159" s="45">
        <f t="shared" si="41"/>
        <v>20977.90439158661</v>
      </c>
      <c r="V159" s="45">
        <f t="shared" si="41"/>
        <v>21187.683435502477</v>
      </c>
      <c r="W159" s="45">
        <f t="shared" si="41"/>
        <v>21399.560269857502</v>
      </c>
      <c r="X159" s="45">
        <f t="shared" si="41"/>
        <v>21613.555872556077</v>
      </c>
      <c r="Y159" s="45">
        <f t="shared" si="41"/>
        <v>21829.691431281637</v>
      </c>
      <c r="Z159" s="45">
        <f t="shared" si="41"/>
        <v>22047.988345594455</v>
      </c>
      <c r="AA159" s="45">
        <f t="shared" si="41"/>
        <v>22268.468229050399</v>
      </c>
      <c r="AB159" s="45">
        <f t="shared" si="41"/>
        <v>22491.152911340905</v>
      </c>
      <c r="AC159" s="263">
        <f t="shared" si="41"/>
        <v>22716.064440454316</v>
      </c>
      <c r="AD159" s="338">
        <f t="shared" si="31"/>
        <v>469322.50848588505</v>
      </c>
    </row>
    <row r="160" spans="1:30" s="53" customFormat="1" ht="12">
      <c r="A160" s="44"/>
      <c r="B160" s="70"/>
      <c r="C160" s="299" t="s">
        <v>155</v>
      </c>
      <c r="D160" s="253"/>
      <c r="E160" s="217"/>
      <c r="F160" s="255">
        <f>F118*$D$146</f>
        <v>-0.41446393445013729</v>
      </c>
      <c r="G160" s="255">
        <f t="shared" ref="G160:AC160" si="42">G118*$D$146</f>
        <v>-0.41264923910515838</v>
      </c>
      <c r="H160" s="255">
        <f t="shared" si="42"/>
        <v>-0.4108220634841111</v>
      </c>
      <c r="I160" s="255">
        <f t="shared" si="42"/>
        <v>-0.40898227839610635</v>
      </c>
      <c r="J160" s="255">
        <f t="shared" si="42"/>
        <v>-0.40712975286097031</v>
      </c>
      <c r="K160" s="255">
        <f t="shared" si="42"/>
        <v>-0.40526435407815975</v>
      </c>
      <c r="L160" s="255">
        <f t="shared" si="42"/>
        <v>-0.40338594739502831</v>
      </c>
      <c r="M160" s="255">
        <f t="shared" si="42"/>
        <v>-0.40149439627442307</v>
      </c>
      <c r="N160" s="255">
        <f t="shared" si="42"/>
        <v>-0.39958956226160458</v>
      </c>
      <c r="O160" s="255">
        <f t="shared" si="42"/>
        <v>-0.39767130495046055</v>
      </c>
      <c r="P160" s="255">
        <f t="shared" si="42"/>
        <v>-0.39573948194900854</v>
      </c>
      <c r="Q160" s="255">
        <f t="shared" si="42"/>
        <v>-0.39379394884416019</v>
      </c>
      <c r="R160" s="255">
        <f t="shared" si="42"/>
        <v>-0.39183455916573573</v>
      </c>
      <c r="S160" s="255">
        <f t="shared" si="42"/>
        <v>-0.38986116434970342</v>
      </c>
      <c r="T160" s="255">
        <f t="shared" si="42"/>
        <v>-0.38787361370063111</v>
      </c>
      <c r="U160" s="255">
        <f t="shared" si="42"/>
        <v>-0.38587175435332544</v>
      </c>
      <c r="V160" s="255">
        <f t="shared" si="42"/>
        <v>-0.38385543123363863</v>
      </c>
      <c r="W160" s="255">
        <f t="shared" si="42"/>
        <v>-0.38182448701842553</v>
      </c>
      <c r="X160" s="255">
        <f t="shared" si="42"/>
        <v>-0.37977876209462158</v>
      </c>
      <c r="Y160" s="255">
        <f t="shared" si="42"/>
        <v>-0.37771809451742988</v>
      </c>
      <c r="Z160" s="255">
        <f t="shared" si="42"/>
        <v>-0.37564231996758424</v>
      </c>
      <c r="AA160" s="255">
        <f t="shared" si="42"/>
        <v>-0.37355127170767077</v>
      </c>
      <c r="AB160" s="255">
        <f t="shared" si="42"/>
        <v>-0.37144478053748076</v>
      </c>
      <c r="AC160" s="268">
        <f t="shared" si="42"/>
        <v>-0.36932267474837244</v>
      </c>
      <c r="AD160" s="346">
        <f t="shared" si="31"/>
        <v>-9.4195651774439479</v>
      </c>
    </row>
    <row r="161" spans="1:30" s="53" customFormat="1" ht="12">
      <c r="A161" s="44"/>
      <c r="B161" s="70"/>
      <c r="C161" s="78" t="s">
        <v>429</v>
      </c>
      <c r="D161" s="253"/>
      <c r="E161" s="217"/>
      <c r="F161" s="255">
        <f>F160*F159</f>
        <v>0</v>
      </c>
      <c r="G161" s="255">
        <f t="shared" ref="G161:AC161" si="43">G160*G159</f>
        <v>-7530.8486136691408</v>
      </c>
      <c r="H161" s="255">
        <f t="shared" si="43"/>
        <v>-7572.4776851708775</v>
      </c>
      <c r="I161" s="255">
        <f t="shared" si="43"/>
        <v>-7613.9515050015925</v>
      </c>
      <c r="J161" s="255">
        <f t="shared" si="43"/>
        <v>-7655.257994918994</v>
      </c>
      <c r="K161" s="255">
        <f t="shared" si="43"/>
        <v>-7696.3847433392202</v>
      </c>
      <c r="L161" s="255">
        <f t="shared" si="43"/>
        <v>-7737.3189972584441</v>
      </c>
      <c r="M161" s="255">
        <f t="shared" si="43"/>
        <v>-7778.0476539759684</v>
      </c>
      <c r="N161" s="255">
        <f t="shared" si="43"/>
        <v>-7818.5572526137757</v>
      </c>
      <c r="O161" s="255">
        <f t="shared" si="43"/>
        <v>-7858.8339654269266</v>
      </c>
      <c r="P161" s="255">
        <f t="shared" si="43"/>
        <v>-7898.8635888994877</v>
      </c>
      <c r="Q161" s="255">
        <f t="shared" si="43"/>
        <v>-7938.63153462011</v>
      </c>
      <c r="R161" s="255">
        <f t="shared" si="43"/>
        <v>-7978.1228199315447</v>
      </c>
      <c r="S161" s="255">
        <f t="shared" si="43"/>
        <v>-8017.3220583479197</v>
      </c>
      <c r="T161" s="255">
        <f t="shared" si="43"/>
        <v>-8056.2134497337011</v>
      </c>
      <c r="U161" s="255">
        <f t="shared" si="43"/>
        <v>-8094.780770237855</v>
      </c>
      <c r="V161" s="255">
        <f t="shared" si="43"/>
        <v>-8133.0073619766254</v>
      </c>
      <c r="W161" s="255">
        <f t="shared" si="43"/>
        <v>-8170.8761224582204</v>
      </c>
      <c r="X161" s="255">
        <f t="shared" si="43"/>
        <v>-8208.3694937422861</v>
      </c>
      <c r="Y161" s="255">
        <f t="shared" si="43"/>
        <v>-8245.4694513271661</v>
      </c>
      <c r="Z161" s="255">
        <f t="shared" si="43"/>
        <v>-8282.1574927573602</v>
      </c>
      <c r="AA161" s="255">
        <f t="shared" si="43"/>
        <v>-8318.4146259436402</v>
      </c>
      <c r="AB161" s="255">
        <f t="shared" si="43"/>
        <v>-8354.2213571879438</v>
      </c>
      <c r="AC161" s="268">
        <f t="shared" si="43"/>
        <v>-8389.5576789049792</v>
      </c>
      <c r="AD161" s="346">
        <f t="shared" si="31"/>
        <v>-183347.68621744381</v>
      </c>
    </row>
    <row r="162" spans="1:30" s="53" customFormat="1" ht="12">
      <c r="A162" s="44"/>
      <c r="B162" s="70"/>
      <c r="C162" s="78" t="s">
        <v>471</v>
      </c>
      <c r="D162" s="253">
        <f>D135</f>
        <v>7.9934109589041098</v>
      </c>
      <c r="E162" s="217"/>
      <c r="F162" s="255">
        <f t="shared" ref="F162:AC162" si="44">$D162*F164</f>
        <v>0</v>
      </c>
      <c r="G162" s="255">
        <f t="shared" si="44"/>
        <v>291759.5</v>
      </c>
      <c r="H162" s="255">
        <f t="shared" si="44"/>
        <v>294677.09500000003</v>
      </c>
      <c r="I162" s="255">
        <f t="shared" si="44"/>
        <v>297623.86595000001</v>
      </c>
      <c r="J162" s="255">
        <f t="shared" si="44"/>
        <v>300600.10460950003</v>
      </c>
      <c r="K162" s="255">
        <f t="shared" si="44"/>
        <v>303606.10565559502</v>
      </c>
      <c r="L162" s="255">
        <f t="shared" si="44"/>
        <v>306642.16671215091</v>
      </c>
      <c r="M162" s="255">
        <f t="shared" si="44"/>
        <v>309708.58837927249</v>
      </c>
      <c r="N162" s="255">
        <f t="shared" si="44"/>
        <v>312805.67426306527</v>
      </c>
      <c r="O162" s="255">
        <f t="shared" si="44"/>
        <v>315933.73100569588</v>
      </c>
      <c r="P162" s="255">
        <f t="shared" si="44"/>
        <v>319093.06831575284</v>
      </c>
      <c r="Q162" s="255">
        <f t="shared" si="44"/>
        <v>322283.99899891036</v>
      </c>
      <c r="R162" s="255">
        <f t="shared" si="44"/>
        <v>325506.83898889943</v>
      </c>
      <c r="S162" s="255">
        <f t="shared" si="44"/>
        <v>328761.90737878851</v>
      </c>
      <c r="T162" s="255">
        <f t="shared" si="44"/>
        <v>332049.52645257639</v>
      </c>
      <c r="U162" s="255">
        <f t="shared" si="44"/>
        <v>335370.02171710209</v>
      </c>
      <c r="V162" s="255">
        <f t="shared" si="44"/>
        <v>338723.72193427314</v>
      </c>
      <c r="W162" s="255">
        <f t="shared" si="44"/>
        <v>342110.95915361587</v>
      </c>
      <c r="X162" s="255">
        <f t="shared" si="44"/>
        <v>345532.06874515204</v>
      </c>
      <c r="Y162" s="255">
        <f t="shared" si="44"/>
        <v>348987.38943260355</v>
      </c>
      <c r="Z162" s="255">
        <f t="shared" si="44"/>
        <v>352477.26332692959</v>
      </c>
      <c r="AA162" s="255">
        <f t="shared" si="44"/>
        <v>356002.0359601989</v>
      </c>
      <c r="AB162" s="255">
        <f t="shared" si="44"/>
        <v>359562.0563198009</v>
      </c>
      <c r="AC162" s="268">
        <f t="shared" si="44"/>
        <v>363157.67688299896</v>
      </c>
      <c r="AD162" s="346">
        <f t="shared" si="31"/>
        <v>7502975.3651828822</v>
      </c>
    </row>
    <row r="163" spans="1:30" s="53" customFormat="1" ht="12">
      <c r="A163" s="44"/>
      <c r="B163" s="70"/>
      <c r="C163" s="47"/>
      <c r="D163" s="253"/>
      <c r="E163" s="217"/>
      <c r="F163" s="255"/>
      <c r="G163" s="255"/>
      <c r="H163" s="255"/>
      <c r="I163" s="255"/>
      <c r="J163" s="255"/>
      <c r="K163" s="255"/>
      <c r="L163" s="255"/>
      <c r="M163" s="255"/>
      <c r="N163" s="255"/>
      <c r="O163" s="255"/>
      <c r="P163" s="255"/>
      <c r="Q163" s="255"/>
      <c r="R163" s="255"/>
      <c r="S163" s="255"/>
      <c r="T163" s="255"/>
      <c r="U163" s="255"/>
      <c r="V163" s="255"/>
      <c r="W163" s="255"/>
      <c r="X163" s="255"/>
      <c r="Y163" s="255"/>
      <c r="Z163" s="255"/>
      <c r="AA163" s="255"/>
      <c r="AB163" s="255"/>
      <c r="AC163" s="268"/>
      <c r="AD163" s="346"/>
    </row>
    <row r="164" spans="1:30" s="53" customFormat="1" ht="12">
      <c r="A164" s="44"/>
      <c r="B164" s="70" t="s">
        <v>446</v>
      </c>
      <c r="C164" s="78" t="s">
        <v>457</v>
      </c>
      <c r="D164" s="253"/>
      <c r="E164" s="217"/>
      <c r="F164" s="45">
        <f>F26</f>
        <v>0</v>
      </c>
      <c r="G164" s="45">
        <f t="shared" ref="G164:AC164" si="45">G26</f>
        <v>36500</v>
      </c>
      <c r="H164" s="45">
        <f t="shared" si="45"/>
        <v>36865</v>
      </c>
      <c r="I164" s="45">
        <f t="shared" si="45"/>
        <v>37233.65</v>
      </c>
      <c r="J164" s="45">
        <f t="shared" si="45"/>
        <v>37605.986500000006</v>
      </c>
      <c r="K164" s="45">
        <f t="shared" si="45"/>
        <v>37982.046365000002</v>
      </c>
      <c r="L164" s="45">
        <f t="shared" si="45"/>
        <v>38361.866828649996</v>
      </c>
      <c r="M164" s="45">
        <f t="shared" si="45"/>
        <v>38745.485496936504</v>
      </c>
      <c r="N164" s="45">
        <f t="shared" si="45"/>
        <v>39132.940351905876</v>
      </c>
      <c r="O164" s="45">
        <f t="shared" si="45"/>
        <v>39524.269755424932</v>
      </c>
      <c r="P164" s="45">
        <f t="shared" si="45"/>
        <v>39919.512452979179</v>
      </c>
      <c r="Q164" s="45">
        <f t="shared" si="45"/>
        <v>40318.707577508969</v>
      </c>
      <c r="R164" s="45">
        <f t="shared" si="45"/>
        <v>40721.894653284056</v>
      </c>
      <c r="S164" s="45">
        <f t="shared" si="45"/>
        <v>41129.113599816905</v>
      </c>
      <c r="T164" s="45">
        <f t="shared" si="45"/>
        <v>41540.404735815071</v>
      </c>
      <c r="U164" s="45">
        <f t="shared" si="45"/>
        <v>41955.808783173219</v>
      </c>
      <c r="V164" s="45">
        <f t="shared" si="45"/>
        <v>42375.366871004953</v>
      </c>
      <c r="W164" s="45">
        <f t="shared" si="45"/>
        <v>42799.120539715004</v>
      </c>
      <c r="X164" s="45">
        <f t="shared" si="45"/>
        <v>43227.111745112154</v>
      </c>
      <c r="Y164" s="45">
        <f t="shared" si="45"/>
        <v>43659.382862563274</v>
      </c>
      <c r="Z164" s="45">
        <f t="shared" si="45"/>
        <v>44095.976691188909</v>
      </c>
      <c r="AA164" s="45">
        <f t="shared" si="45"/>
        <v>44536.936458100798</v>
      </c>
      <c r="AB164" s="45">
        <f t="shared" si="45"/>
        <v>44982.30582268181</v>
      </c>
      <c r="AC164" s="263">
        <f t="shared" si="45"/>
        <v>45432.128880908633</v>
      </c>
      <c r="AD164" s="338">
        <f t="shared" si="31"/>
        <v>938645.01697177009</v>
      </c>
    </row>
    <row r="165" spans="1:30" s="53" customFormat="1" ht="12">
      <c r="A165" s="44"/>
      <c r="B165" s="70"/>
      <c r="C165" s="78" t="s">
        <v>453</v>
      </c>
      <c r="D165" s="253"/>
      <c r="E165" s="217"/>
      <c r="F165" s="255">
        <f>F125*$D$146</f>
        <v>-1.0579557447017054</v>
      </c>
      <c r="G165" s="255">
        <f t="shared" ref="G165:AC165" si="46">G125*$D$146</f>
        <v>-1.0513660688679827</v>
      </c>
      <c r="H165" s="255">
        <f t="shared" si="46"/>
        <v>-1.0447310735960231</v>
      </c>
      <c r="I165" s="255">
        <f t="shared" si="46"/>
        <v>-1.0380502897568995</v>
      </c>
      <c r="J165" s="255">
        <f t="shared" si="46"/>
        <v>-1.0313232417242824</v>
      </c>
      <c r="K165" s="255">
        <f t="shared" si="46"/>
        <v>-1.0245494472615633</v>
      </c>
      <c r="L165" s="255">
        <f t="shared" si="46"/>
        <v>-1.0177284174066159</v>
      </c>
      <c r="M165" s="255">
        <f t="shared" si="46"/>
        <v>-1.0108596563541394</v>
      </c>
      <c r="N165" s="255">
        <f t="shared" si="46"/>
        <v>-1.003942661335524</v>
      </c>
      <c r="O165" s="255">
        <f t="shared" si="46"/>
        <v>-0.99697692249617464</v>
      </c>
      <c r="P165" s="255">
        <f t="shared" si="46"/>
        <v>-0.98996192277023143</v>
      </c>
      <c r="Q165" s="255">
        <f t="shared" si="46"/>
        <v>-0.98289713775262655</v>
      </c>
      <c r="R165" s="255">
        <f t="shared" si="46"/>
        <v>-0.97578203556840304</v>
      </c>
      <c r="S165" s="255">
        <f t="shared" si="46"/>
        <v>-0.96861607673923533</v>
      </c>
      <c r="T165" s="255">
        <f t="shared" si="46"/>
        <v>-0.96139871404707389</v>
      </c>
      <c r="U165" s="255">
        <f t="shared" si="46"/>
        <v>-0.95412939239484595</v>
      </c>
      <c r="V165" s="255">
        <f t="shared" si="46"/>
        <v>-0.94680754866414052</v>
      </c>
      <c r="W165" s="255">
        <f t="shared" si="46"/>
        <v>-0.93943261156979041</v>
      </c>
      <c r="X165" s="255">
        <f t="shared" si="46"/>
        <v>-0.93200400151128449</v>
      </c>
      <c r="Y165" s="255">
        <f t="shared" si="46"/>
        <v>-0.92452113042092332</v>
      </c>
      <c r="Z165" s="255">
        <f t="shared" si="46"/>
        <v>-0.9169834016086349</v>
      </c>
      <c r="AA165" s="255">
        <f t="shared" si="46"/>
        <v>-0.90939020960336192</v>
      </c>
      <c r="AB165" s="255">
        <f t="shared" si="46"/>
        <v>-0.9017409399909404</v>
      </c>
      <c r="AC165" s="268">
        <f t="shared" si="46"/>
        <v>-0.89403496924836867</v>
      </c>
      <c r="AD165" s="346">
        <f t="shared" si="31"/>
        <v>-23.475183615390776</v>
      </c>
    </row>
    <row r="166" spans="1:30" s="53" customFormat="1" ht="12">
      <c r="A166" s="44"/>
      <c r="B166" s="70"/>
      <c r="C166" s="299" t="s">
        <v>155</v>
      </c>
      <c r="D166" s="253"/>
      <c r="E166" s="217"/>
      <c r="F166" s="255">
        <f>F165*F164</f>
        <v>0</v>
      </c>
      <c r="G166" s="255">
        <f t="shared" ref="G166:AC166" si="47">G165*G164</f>
        <v>-38374.861513681368</v>
      </c>
      <c r="H166" s="255">
        <f t="shared" si="47"/>
        <v>-38514.011028117391</v>
      </c>
      <c r="I166" s="255">
        <f t="shared" si="47"/>
        <v>-38650.401171206984</v>
      </c>
      <c r="J166" s="255">
        <f t="shared" si="47"/>
        <v>-38783.927905419609</v>
      </c>
      <c r="K166" s="305">
        <f t="shared" si="47"/>
        <v>-38914.484609123821</v>
      </c>
      <c r="L166" s="255">
        <f t="shared" si="47"/>
        <v>-39041.962016285317</v>
      </c>
      <c r="M166" s="255">
        <f t="shared" si="47"/>
        <v>-39166.248154707529</v>
      </c>
      <c r="N166" s="255">
        <f t="shared" si="47"/>
        <v>-39287.228282776705</v>
      </c>
      <c r="O166" s="255">
        <f t="shared" si="47"/>
        <v>-39404.784824672184</v>
      </c>
      <c r="P166" s="255">
        <f t="shared" si="47"/>
        <v>-39518.797304001469</v>
      </c>
      <c r="Q166" s="255">
        <f t="shared" si="47"/>
        <v>-39629.142275818704</v>
      </c>
      <c r="R166" s="255">
        <f t="shared" si="47"/>
        <v>-39735.693256983584</v>
      </c>
      <c r="S166" s="255">
        <f t="shared" si="47"/>
        <v>-39838.320654816976</v>
      </c>
      <c r="T166" s="255">
        <f t="shared" si="47"/>
        <v>-39936.891694007587</v>
      </c>
      <c r="U166" s="255">
        <f t="shared" si="47"/>
        <v>-40031.270341723408</v>
      </c>
      <c r="V166" s="255">
        <f t="shared" si="47"/>
        <v>-40121.317230879831</v>
      </c>
      <c r="W166" s="255">
        <f t="shared" si="47"/>
        <v>-40206.889581514726</v>
      </c>
      <c r="X166" s="255">
        <f t="shared" si="47"/>
        <v>-40287.841120219971</v>
      </c>
      <c r="Y166" s="255">
        <f t="shared" si="47"/>
        <v>-40364.021997576885</v>
      </c>
      <c r="Z166" s="255">
        <f t="shared" si="47"/>
        <v>-40435.27870354148</v>
      </c>
      <c r="AA166" s="255">
        <f t="shared" si="47"/>
        <v>-40501.453980723898</v>
      </c>
      <c r="AB166" s="255">
        <f t="shared" si="47"/>
        <v>-40562.386735505046</v>
      </c>
      <c r="AC166" s="268">
        <f t="shared" si="47"/>
        <v>-40617.911946931068</v>
      </c>
      <c r="AD166" s="346">
        <f t="shared" si="31"/>
        <v>-911925.12633023562</v>
      </c>
    </row>
    <row r="167" spans="1:30" s="53" customFormat="1" ht="12">
      <c r="A167" s="44"/>
      <c r="B167" s="70"/>
      <c r="C167" s="78" t="s">
        <v>469</v>
      </c>
      <c r="D167" s="253">
        <f>D139</f>
        <v>5.8860036870687518</v>
      </c>
      <c r="E167" s="217"/>
      <c r="F167" s="255">
        <f t="shared" ref="F167:AC167" si="48">$D167*F159</f>
        <v>0</v>
      </c>
      <c r="G167" s="255">
        <f t="shared" si="48"/>
        <v>107419.56728900471</v>
      </c>
      <c r="H167" s="255">
        <f t="shared" si="48"/>
        <v>108493.76296189477</v>
      </c>
      <c r="I167" s="255">
        <f t="shared" si="48"/>
        <v>109578.70059151371</v>
      </c>
      <c r="J167" s="255">
        <f t="shared" si="48"/>
        <v>110674.48759742887</v>
      </c>
      <c r="K167" s="255">
        <f t="shared" si="48"/>
        <v>111781.23247340314</v>
      </c>
      <c r="L167" s="255">
        <f t="shared" si="48"/>
        <v>112899.04479813715</v>
      </c>
      <c r="M167" s="255">
        <f t="shared" si="48"/>
        <v>114028.03524611855</v>
      </c>
      <c r="N167" s="255">
        <f t="shared" si="48"/>
        <v>115168.31559857976</v>
      </c>
      <c r="O167" s="255">
        <f t="shared" si="48"/>
        <v>116319.99875456555</v>
      </c>
      <c r="P167" s="255">
        <f t="shared" si="48"/>
        <v>117483.1987421112</v>
      </c>
      <c r="Q167" s="255">
        <f t="shared" si="48"/>
        <v>118658.0307295323</v>
      </c>
      <c r="R167" s="255">
        <f t="shared" si="48"/>
        <v>119844.61103682763</v>
      </c>
      <c r="S167" s="255">
        <f t="shared" si="48"/>
        <v>121043.05714719593</v>
      </c>
      <c r="T167" s="255">
        <f t="shared" si="48"/>
        <v>122253.48771866788</v>
      </c>
      <c r="U167" s="255">
        <f t="shared" si="48"/>
        <v>123476.02259585455</v>
      </c>
      <c r="V167" s="255">
        <f t="shared" si="48"/>
        <v>124710.78282181309</v>
      </c>
      <c r="W167" s="255">
        <f t="shared" si="48"/>
        <v>125957.89065003123</v>
      </c>
      <c r="X167" s="255">
        <f t="shared" si="48"/>
        <v>127217.46955653153</v>
      </c>
      <c r="Y167" s="255">
        <f t="shared" si="48"/>
        <v>128489.64425209686</v>
      </c>
      <c r="Z167" s="255">
        <f t="shared" si="48"/>
        <v>129774.54069461783</v>
      </c>
      <c r="AA167" s="255">
        <f t="shared" si="48"/>
        <v>131072.28610156401</v>
      </c>
      <c r="AB167" s="255">
        <f t="shared" si="48"/>
        <v>132383.00896257965</v>
      </c>
      <c r="AC167" s="268">
        <f t="shared" si="48"/>
        <v>133706.83905220547</v>
      </c>
      <c r="AD167" s="346">
        <f t="shared" ref="AD167:AD229" si="49">SUM(F167:AC167)</f>
        <v>2762434.0153722744</v>
      </c>
    </row>
    <row r="168" spans="1:30" s="53" customFormat="1" ht="12">
      <c r="A168" s="44"/>
      <c r="B168" s="70"/>
      <c r="C168" s="224"/>
      <c r="D168" s="253"/>
      <c r="E168" s="217"/>
      <c r="F168" s="255"/>
      <c r="G168" s="255"/>
      <c r="H168" s="255"/>
      <c r="I168" s="255"/>
      <c r="J168" s="255"/>
      <c r="K168" s="255"/>
      <c r="L168" s="255"/>
      <c r="M168" s="255"/>
      <c r="N168" s="255"/>
      <c r="O168" s="255"/>
      <c r="P168" s="255"/>
      <c r="Q168" s="255"/>
      <c r="R168" s="255"/>
      <c r="S168" s="255"/>
      <c r="T168" s="255"/>
      <c r="U168" s="255"/>
      <c r="V168" s="255"/>
      <c r="W168" s="255"/>
      <c r="X168" s="255"/>
      <c r="Y168" s="255"/>
      <c r="Z168" s="255"/>
      <c r="AA168" s="255"/>
      <c r="AB168" s="255"/>
      <c r="AC168" s="268"/>
      <c r="AD168" s="346"/>
    </row>
    <row r="169" spans="1:30" s="53" customFormat="1" ht="12">
      <c r="A169" s="45"/>
      <c r="B169" s="5"/>
      <c r="C169" s="78"/>
      <c r="D169" s="253"/>
      <c r="E169" s="217"/>
      <c r="F169" s="45"/>
      <c r="G169" s="57"/>
      <c r="AC169" s="263"/>
      <c r="AD169" s="338"/>
    </row>
    <row r="170" spans="1:30" s="53" customFormat="1" ht="12">
      <c r="A170" s="45"/>
      <c r="B170" s="55"/>
      <c r="C170" s="5" t="s">
        <v>487</v>
      </c>
      <c r="D170" s="253"/>
      <c r="E170" s="220"/>
      <c r="F170" s="83">
        <f>F150+F151+F156+F157++F161+F162+F166+F167</f>
        <v>0</v>
      </c>
      <c r="G170" s="83">
        <f t="shared" ref="G170:AC170" si="50">G150+G151+G156+G157++G161+G162+G166+G167</f>
        <v>353273.35716165416</v>
      </c>
      <c r="H170" s="83">
        <f t="shared" si="50"/>
        <v>376120.09860081843</v>
      </c>
      <c r="I170" s="83">
        <f t="shared" si="50"/>
        <v>380094.50682816451</v>
      </c>
      <c r="J170" s="83">
        <f t="shared" si="50"/>
        <v>384110.42395371315</v>
      </c>
      <c r="K170" s="83">
        <f t="shared" si="50"/>
        <v>388168.35301341733</v>
      </c>
      <c r="L170" s="83">
        <f t="shared" si="50"/>
        <v>392268.80379343306</v>
      </c>
      <c r="M170" s="83">
        <f t="shared" si="50"/>
        <v>396412.29293579655</v>
      </c>
      <c r="N170" s="83">
        <f t="shared" si="50"/>
        <v>401036.83809161547</v>
      </c>
      <c r="O170" s="83">
        <f t="shared" si="50"/>
        <v>405716.80477326264</v>
      </c>
      <c r="P170" s="83">
        <f t="shared" si="50"/>
        <v>410452.85101949598</v>
      </c>
      <c r="Q170" s="83">
        <f t="shared" si="50"/>
        <v>415245.64387392101</v>
      </c>
      <c r="R170" s="83">
        <f t="shared" si="50"/>
        <v>420095.85953153484</v>
      </c>
      <c r="S170" s="83">
        <f t="shared" si="50"/>
        <v>425004.18348816817</v>
      </c>
      <c r="T170" s="83">
        <f t="shared" si="50"/>
        <v>429971.31069289549</v>
      </c>
      <c r="U170" s="83">
        <f t="shared" si="50"/>
        <v>434997.94570348633</v>
      </c>
      <c r="V170" s="83">
        <f t="shared" si="50"/>
        <v>440084.80284496845</v>
      </c>
      <c r="W170" s="83">
        <f t="shared" si="50"/>
        <v>445232.60637137986</v>
      </c>
      <c r="X170" s="83">
        <f t="shared" si="50"/>
        <v>450491.17779228679</v>
      </c>
      <c r="Y170" s="83">
        <f t="shared" si="50"/>
        <v>455813.37898207328</v>
      </c>
      <c r="Z170" s="83">
        <f t="shared" si="50"/>
        <v>461199.97823003563</v>
      </c>
      <c r="AA170" s="83">
        <f t="shared" si="50"/>
        <v>466651.75462986651</v>
      </c>
      <c r="AB170" s="83">
        <f t="shared" si="50"/>
        <v>472169.49826215475</v>
      </c>
      <c r="AC170" s="272">
        <f t="shared" si="50"/>
        <v>477754.01038065401</v>
      </c>
      <c r="AD170" s="355">
        <f t="shared" si="49"/>
        <v>9682366.4809547942</v>
      </c>
    </row>
    <row r="171" spans="1:30" s="53" customFormat="1" ht="12">
      <c r="A171" s="45"/>
      <c r="B171" s="45"/>
      <c r="D171" s="209"/>
      <c r="E171" s="217"/>
      <c r="F171" s="45"/>
      <c r="G171" s="57"/>
      <c r="AC171" s="263"/>
      <c r="AD171" s="338"/>
    </row>
    <row r="172" spans="1:30" s="53" customFormat="1" ht="12">
      <c r="A172" s="45"/>
      <c r="B172" s="5" t="s">
        <v>507</v>
      </c>
      <c r="C172" s="5"/>
      <c r="D172" s="209"/>
      <c r="E172" s="217"/>
      <c r="G172" s="57"/>
      <c r="AC172" s="263"/>
      <c r="AD172" s="338"/>
    </row>
    <row r="173" spans="1:30" s="53" customFormat="1" ht="12">
      <c r="A173" s="45"/>
      <c r="B173" s="55" t="s">
        <v>508</v>
      </c>
      <c r="C173" s="225" t="s">
        <v>509</v>
      </c>
      <c r="D173" s="287">
        <v>5.3999999999999999E-2</v>
      </c>
      <c r="E173" s="217"/>
      <c r="G173" s="57"/>
      <c r="AC173" s="263"/>
      <c r="AD173" s="338"/>
    </row>
    <row r="174" spans="1:30" s="53" customFormat="1" ht="12">
      <c r="A174" s="45"/>
      <c r="C174" s="70" t="s">
        <v>505</v>
      </c>
      <c r="D174" s="209"/>
      <c r="E174" s="217"/>
      <c r="F174" s="255">
        <f>-F32*$D$173</f>
        <v>0</v>
      </c>
      <c r="G174" s="255">
        <f t="shared" ref="G174:AC174" si="51">-G32*$D$173</f>
        <v>14575.545</v>
      </c>
      <c r="H174" s="255">
        <f t="shared" si="51"/>
        <v>28159.320068853904</v>
      </c>
      <c r="I174" s="255">
        <f t="shared" si="51"/>
        <v>28212.348945752328</v>
      </c>
      <c r="J174" s="255">
        <f t="shared" si="51"/>
        <v>28266.849952695746</v>
      </c>
      <c r="K174" s="255">
        <f t="shared" si="51"/>
        <v>28322.837810984613</v>
      </c>
      <c r="L174" s="255">
        <f t="shared" si="51"/>
        <v>28380.327389132377</v>
      </c>
      <c r="M174" s="255">
        <f t="shared" si="51"/>
        <v>28439.333704337641</v>
      </c>
      <c r="N174" s="255">
        <f t="shared" si="51"/>
        <v>28785.300119029096</v>
      </c>
      <c r="O174" s="255">
        <f t="shared" si="51"/>
        <v>29132.813757192893</v>
      </c>
      <c r="P174" s="255">
        <f t="shared" si="51"/>
        <v>29481.89009106376</v>
      </c>
      <c r="Q174" s="255">
        <f t="shared" si="51"/>
        <v>29832.544747598775</v>
      </c>
      <c r="R174" s="255">
        <f t="shared" si="51"/>
        <v>30184.79351002457</v>
      </c>
      <c r="S174" s="255">
        <f t="shared" si="51"/>
        <v>30538.652319400066</v>
      </c>
      <c r="T174" s="255">
        <f t="shared" si="51"/>
        <v>30894.137276194742</v>
      </c>
      <c r="U174" s="255">
        <f t="shared" si="51"/>
        <v>31251.264641882804</v>
      </c>
      <c r="V174" s="255">
        <f t="shared" si="51"/>
        <v>31610.050840553187</v>
      </c>
      <c r="W174" s="255">
        <f t="shared" si="51"/>
        <v>31970.512460535698</v>
      </c>
      <c r="X174" s="255">
        <f t="shared" si="51"/>
        <v>32360.91432549763</v>
      </c>
      <c r="Y174" s="255">
        <f t="shared" si="51"/>
        <v>32753.025287740067</v>
      </c>
      <c r="Z174" s="255">
        <f t="shared" si="51"/>
        <v>33146.862438235825</v>
      </c>
      <c r="AA174" s="255">
        <f t="shared" si="51"/>
        <v>33542.443038867437</v>
      </c>
      <c r="AB174" s="255">
        <f t="shared" si="51"/>
        <v>33939.784524136259</v>
      </c>
      <c r="AC174" s="268">
        <f t="shared" si="51"/>
        <v>34338.904502888661</v>
      </c>
      <c r="AD174" s="346">
        <f t="shared" si="49"/>
        <v>688120.45675259794</v>
      </c>
    </row>
    <row r="175" spans="1:30" s="53" customFormat="1" ht="12">
      <c r="A175" s="45"/>
      <c r="B175" s="45"/>
      <c r="C175" s="225" t="s">
        <v>514</v>
      </c>
      <c r="D175" s="209">
        <v>3.2</v>
      </c>
      <c r="E175" s="217"/>
      <c r="G175" s="57"/>
      <c r="AC175" s="263"/>
      <c r="AD175" s="338"/>
    </row>
    <row r="176" spans="1:30" s="53" customFormat="1" ht="12">
      <c r="A176" s="45"/>
      <c r="B176" s="45"/>
      <c r="C176" s="224" t="s">
        <v>384</v>
      </c>
      <c r="D176" s="253">
        <f>'Price Assumptions'!B3</f>
        <v>12.5</v>
      </c>
      <c r="E176" s="217"/>
      <c r="G176" s="57"/>
      <c r="AC176" s="263"/>
      <c r="AD176" s="338"/>
    </row>
    <row r="177" spans="1:30" s="53" customFormat="1" ht="12">
      <c r="A177" s="45"/>
      <c r="B177" s="45"/>
      <c r="C177" s="70" t="s">
        <v>562</v>
      </c>
      <c r="D177" s="209"/>
      <c r="E177" s="217"/>
      <c r="F177" s="288">
        <f>($D$175/3600)*$D$176*F39</f>
        <v>0</v>
      </c>
      <c r="G177" s="288">
        <f t="shared" ref="G177:AC177" si="52">($D$175/3600)*$D$176*G39</f>
        <v>0</v>
      </c>
      <c r="H177" s="288">
        <f t="shared" si="52"/>
        <v>109977.93968922738</v>
      </c>
      <c r="I177" s="288">
        <f t="shared" si="52"/>
        <v>110301.53722215998</v>
      </c>
      <c r="J177" s="288">
        <f t="shared" si="52"/>
        <v>110625.10403425926</v>
      </c>
      <c r="K177" s="288">
        <f t="shared" si="52"/>
        <v>110948.63981831686</v>
      </c>
      <c r="L177" s="288">
        <f t="shared" si="52"/>
        <v>111272.14426405237</v>
      </c>
      <c r="M177" s="288">
        <f t="shared" si="52"/>
        <v>111595.61705808257</v>
      </c>
      <c r="N177" s="288">
        <f t="shared" si="52"/>
        <v>111914.54018532985</v>
      </c>
      <c r="O177" s="288">
        <f t="shared" si="52"/>
        <v>112233.43102467251</v>
      </c>
      <c r="P177" s="288">
        <f t="shared" si="52"/>
        <v>112552.28925323157</v>
      </c>
      <c r="Q177" s="288">
        <f t="shared" si="52"/>
        <v>112871.11454489916</v>
      </c>
      <c r="R177" s="288">
        <f t="shared" si="52"/>
        <v>113189.9065703064</v>
      </c>
      <c r="S177" s="288">
        <f t="shared" si="52"/>
        <v>113508.66499679064</v>
      </c>
      <c r="T177" s="288">
        <f t="shared" si="52"/>
        <v>113827.38948836263</v>
      </c>
      <c r="U177" s="288">
        <f t="shared" si="52"/>
        <v>114146.07970567334</v>
      </c>
      <c r="V177" s="288">
        <f t="shared" si="52"/>
        <v>114464.73530598008</v>
      </c>
      <c r="W177" s="288">
        <f t="shared" si="52"/>
        <v>114783.35594311282</v>
      </c>
      <c r="X177" s="288">
        <f t="shared" si="52"/>
        <v>115101.4941628268</v>
      </c>
      <c r="Y177" s="288">
        <f t="shared" si="52"/>
        <v>110597.83470216254</v>
      </c>
      <c r="Z177" s="288">
        <f t="shared" si="52"/>
        <v>105834.34367179401</v>
      </c>
      <c r="AA177" s="288">
        <f t="shared" si="52"/>
        <v>101070.81625860646</v>
      </c>
      <c r="AB177" s="288">
        <f t="shared" si="52"/>
        <v>96307.252098771642</v>
      </c>
      <c r="AC177" s="387">
        <f t="shared" si="52"/>
        <v>1063.6386154099</v>
      </c>
      <c r="AD177" s="356">
        <f t="shared" si="49"/>
        <v>2328187.8686140291</v>
      </c>
    </row>
    <row r="178" spans="1:30" s="53" customFormat="1" ht="12">
      <c r="A178" s="45"/>
      <c r="B178" s="55" t="s">
        <v>388</v>
      </c>
      <c r="C178" s="225" t="s">
        <v>515</v>
      </c>
      <c r="D178" s="209">
        <v>2</v>
      </c>
      <c r="E178" s="217"/>
      <c r="G178" s="57"/>
      <c r="AC178" s="263"/>
      <c r="AD178" s="338"/>
    </row>
    <row r="179" spans="1:30" s="53" customFormat="1" ht="12">
      <c r="A179" s="45"/>
      <c r="B179" s="45"/>
      <c r="C179" s="224" t="s">
        <v>384</v>
      </c>
      <c r="D179" s="253">
        <f>D176</f>
        <v>12.5</v>
      </c>
      <c r="E179" s="217"/>
      <c r="F179" s="45"/>
      <c r="G179" s="57"/>
      <c r="AC179" s="263"/>
      <c r="AD179" s="338"/>
    </row>
    <row r="180" spans="1:30" s="53" customFormat="1" ht="12">
      <c r="A180" s="45"/>
      <c r="B180" s="45"/>
      <c r="C180" s="224" t="s">
        <v>521</v>
      </c>
      <c r="D180" s="322">
        <f>'Mode Operating Assumptions'!C45</f>
        <v>8.4250000000000002E-3</v>
      </c>
      <c r="E180" s="217"/>
      <c r="F180" s="45"/>
      <c r="G180" s="57"/>
      <c r="AC180" s="263"/>
      <c r="AD180" s="338"/>
    </row>
    <row r="181" spans="1:30" s="53" customFormat="1" ht="12">
      <c r="A181" s="45"/>
      <c r="B181" s="45"/>
      <c r="C181" s="70" t="s">
        <v>516</v>
      </c>
      <c r="D181" s="209"/>
      <c r="E181" s="217"/>
      <c r="F181" s="255">
        <f>-(($D$178/3600*$D$179)+$D$180)*F37</f>
        <v>-152396.3365570629</v>
      </c>
      <c r="G181" s="255">
        <f>-(($D$178/3600*$D$179)+$D$180)*G37</f>
        <v>-152396.3365570629</v>
      </c>
      <c r="H181" s="255">
        <f>-(($D$178/3600*$D$179)+$D$180)*H37</f>
        <v>0</v>
      </c>
      <c r="I181" s="255">
        <f>-(($D$178/3600*$D$179)+$D$180)*I37</f>
        <v>0</v>
      </c>
      <c r="J181" s="45"/>
      <c r="AC181" s="263"/>
      <c r="AD181" s="346">
        <f t="shared" si="49"/>
        <v>-304792.67311412579</v>
      </c>
    </row>
    <row r="182" spans="1:30" s="53" customFormat="1" ht="12">
      <c r="A182" s="45"/>
      <c r="B182" s="45"/>
      <c r="C182" s="5"/>
      <c r="D182" s="209"/>
      <c r="E182" s="217"/>
      <c r="F182" s="45"/>
      <c r="G182" s="57"/>
      <c r="AC182" s="263"/>
      <c r="AD182" s="338"/>
    </row>
    <row r="183" spans="1:30" s="53" customFormat="1" ht="12">
      <c r="A183" s="45"/>
      <c r="B183" s="45"/>
      <c r="C183" s="5" t="s">
        <v>517</v>
      </c>
      <c r="D183" s="209"/>
      <c r="E183" s="217"/>
      <c r="F183" s="289">
        <f>F174+F177+F181</f>
        <v>-152396.3365570629</v>
      </c>
      <c r="G183" s="289">
        <f t="shared" ref="G183:AC183" si="53">G174+G177+G181</f>
        <v>-137820.79155706288</v>
      </c>
      <c r="H183" s="289">
        <f t="shared" si="53"/>
        <v>138137.25975808129</v>
      </c>
      <c r="I183" s="289">
        <f t="shared" si="53"/>
        <v>138513.88616791231</v>
      </c>
      <c r="J183" s="289">
        <f t="shared" si="53"/>
        <v>138891.95398695499</v>
      </c>
      <c r="K183" s="289">
        <f t="shared" si="53"/>
        <v>139271.47762930149</v>
      </c>
      <c r="L183" s="289">
        <f t="shared" si="53"/>
        <v>139652.47165318474</v>
      </c>
      <c r="M183" s="289">
        <f t="shared" si="53"/>
        <v>140034.95076242022</v>
      </c>
      <c r="N183" s="289">
        <f t="shared" si="53"/>
        <v>140699.84030435895</v>
      </c>
      <c r="O183" s="289">
        <f t="shared" si="53"/>
        <v>141366.24478186539</v>
      </c>
      <c r="P183" s="289">
        <f t="shared" si="53"/>
        <v>142034.17934429535</v>
      </c>
      <c r="Q183" s="289">
        <f t="shared" si="53"/>
        <v>142703.65929249793</v>
      </c>
      <c r="R183" s="289">
        <f t="shared" si="53"/>
        <v>143374.70008033098</v>
      </c>
      <c r="S183" s="289">
        <f t="shared" si="53"/>
        <v>144047.31731619072</v>
      </c>
      <c r="T183" s="289">
        <f t="shared" si="53"/>
        <v>144721.52676455738</v>
      </c>
      <c r="U183" s="289">
        <f t="shared" si="53"/>
        <v>145397.34434755615</v>
      </c>
      <c r="V183" s="289">
        <f t="shared" si="53"/>
        <v>146074.78614653327</v>
      </c>
      <c r="W183" s="289">
        <f t="shared" si="53"/>
        <v>146753.86840364852</v>
      </c>
      <c r="X183" s="289">
        <f t="shared" si="53"/>
        <v>147462.40848832444</v>
      </c>
      <c r="Y183" s="289">
        <f t="shared" si="53"/>
        <v>143350.85998990262</v>
      </c>
      <c r="Z183" s="289">
        <f t="shared" si="53"/>
        <v>138981.20611002983</v>
      </c>
      <c r="AA183" s="289">
        <f t="shared" si="53"/>
        <v>134613.25929747388</v>
      </c>
      <c r="AB183" s="289">
        <f t="shared" si="53"/>
        <v>130247.03662290791</v>
      </c>
      <c r="AC183" s="318">
        <f t="shared" si="53"/>
        <v>35402.543118298563</v>
      </c>
      <c r="AD183" s="347">
        <f t="shared" si="49"/>
        <v>2711515.6522525009</v>
      </c>
    </row>
    <row r="184" spans="1:30" s="53" customFormat="1" ht="12">
      <c r="A184" s="45"/>
      <c r="B184" s="45"/>
      <c r="C184" s="5"/>
      <c r="D184" s="209"/>
      <c r="E184" s="217"/>
      <c r="F184" s="45"/>
      <c r="G184" s="57"/>
      <c r="AC184" s="263"/>
      <c r="AD184" s="338"/>
    </row>
    <row r="185" spans="1:30" s="53" customFormat="1" ht="12">
      <c r="A185" s="45"/>
      <c r="B185" s="55" t="s">
        <v>501</v>
      </c>
      <c r="C185" s="5"/>
      <c r="D185" s="209"/>
      <c r="E185" s="217"/>
      <c r="F185" s="233">
        <f>F33</f>
        <v>0</v>
      </c>
      <c r="G185" s="233">
        <f t="shared" ref="G185:AC185" si="54">G33</f>
        <v>47565.643456646481</v>
      </c>
      <c r="H185" s="233">
        <f t="shared" si="54"/>
        <v>89823.723757720087</v>
      </c>
      <c r="I185" s="233">
        <f t="shared" si="54"/>
        <v>88009.407512649967</v>
      </c>
      <c r="J185" s="233">
        <f t="shared" si="54"/>
        <v>86277.836051896535</v>
      </c>
      <c r="K185" s="233">
        <f t="shared" si="54"/>
        <v>84623.813190772678</v>
      </c>
      <c r="L185" s="233">
        <f t="shared" si="54"/>
        <v>83042.572865680748</v>
      </c>
      <c r="M185" s="233">
        <f t="shared" si="54"/>
        <v>81529.735578623018</v>
      </c>
      <c r="N185" s="233">
        <f t="shared" si="54"/>
        <v>80883.289506434434</v>
      </c>
      <c r="O185" s="233">
        <f t="shared" si="54"/>
        <v>81816.413151155051</v>
      </c>
      <c r="P185" s="233">
        <f t="shared" si="54"/>
        <v>82752.935395551278</v>
      </c>
      <c r="Q185" s="233">
        <f t="shared" si="54"/>
        <v>83692.894686399479</v>
      </c>
      <c r="R185" s="233">
        <f t="shared" si="54"/>
        <v>84636.329827338064</v>
      </c>
      <c r="S185" s="233">
        <f t="shared" si="54"/>
        <v>85583.279982304084</v>
      </c>
      <c r="T185" s="233">
        <f t="shared" si="54"/>
        <v>86533.78467900239</v>
      </c>
      <c r="U185" s="233">
        <f t="shared" si="54"/>
        <v>87487.883812408618</v>
      </c>
      <c r="V185" s="233">
        <f t="shared" si="54"/>
        <v>88445.617648304964</v>
      </c>
      <c r="W185" s="233">
        <f t="shared" si="54"/>
        <v>89407.026826850226</v>
      </c>
      <c r="X185" s="233">
        <f t="shared" si="54"/>
        <v>90451.107773589712</v>
      </c>
      <c r="Y185" s="233">
        <f t="shared" si="54"/>
        <v>91498.863300170313</v>
      </c>
      <c r="Z185" s="233">
        <f t="shared" si="54"/>
        <v>92550.335323022577</v>
      </c>
      <c r="AA185" s="233">
        <f t="shared" si="54"/>
        <v>93605.566147301826</v>
      </c>
      <c r="AB185" s="233">
        <f t="shared" si="54"/>
        <v>94664.598470632933</v>
      </c>
      <c r="AC185" s="266">
        <f t="shared" si="54"/>
        <v>95727.47538689099</v>
      </c>
      <c r="AD185" s="348">
        <f t="shared" si="49"/>
        <v>1970610.1343313463</v>
      </c>
    </row>
    <row r="186" spans="1:30" s="5" customFormat="1" ht="12">
      <c r="A186" s="58"/>
      <c r="B186" s="58"/>
      <c r="C186" s="5" t="s">
        <v>590</v>
      </c>
      <c r="D186" s="212"/>
      <c r="E186" s="220"/>
      <c r="F186" s="83">
        <f>F185</f>
        <v>0</v>
      </c>
      <c r="G186" s="83">
        <f t="shared" ref="G186:AC186" si="55">G185</f>
        <v>47565.643456646481</v>
      </c>
      <c r="H186" s="83">
        <f t="shared" si="55"/>
        <v>89823.723757720087</v>
      </c>
      <c r="I186" s="83">
        <f>I185</f>
        <v>88009.407512649967</v>
      </c>
      <c r="J186" s="83">
        <f t="shared" si="55"/>
        <v>86277.836051896535</v>
      </c>
      <c r="K186" s="83">
        <f t="shared" si="55"/>
        <v>84623.813190772678</v>
      </c>
      <c r="L186" s="83">
        <f t="shared" si="55"/>
        <v>83042.572865680748</v>
      </c>
      <c r="M186" s="83">
        <f t="shared" si="55"/>
        <v>81529.735578623018</v>
      </c>
      <c r="N186" s="83">
        <f t="shared" si="55"/>
        <v>80883.289506434434</v>
      </c>
      <c r="O186" s="83">
        <f t="shared" si="55"/>
        <v>81816.413151155051</v>
      </c>
      <c r="P186" s="83">
        <f t="shared" si="55"/>
        <v>82752.935395551278</v>
      </c>
      <c r="Q186" s="83">
        <f t="shared" si="55"/>
        <v>83692.894686399479</v>
      </c>
      <c r="R186" s="83">
        <f t="shared" si="55"/>
        <v>84636.329827338064</v>
      </c>
      <c r="S186" s="83">
        <f t="shared" si="55"/>
        <v>85583.279982304084</v>
      </c>
      <c r="T186" s="83">
        <f t="shared" si="55"/>
        <v>86533.78467900239</v>
      </c>
      <c r="U186" s="83">
        <f t="shared" si="55"/>
        <v>87487.883812408618</v>
      </c>
      <c r="V186" s="83">
        <f t="shared" si="55"/>
        <v>88445.617648304964</v>
      </c>
      <c r="W186" s="83">
        <f t="shared" si="55"/>
        <v>89407.026826850226</v>
      </c>
      <c r="X186" s="83">
        <f t="shared" si="55"/>
        <v>90451.107773589712</v>
      </c>
      <c r="Y186" s="83">
        <f t="shared" si="55"/>
        <v>91498.863300170313</v>
      </c>
      <c r="Z186" s="83">
        <f t="shared" si="55"/>
        <v>92550.335323022577</v>
      </c>
      <c r="AA186" s="83">
        <f t="shared" si="55"/>
        <v>93605.566147301826</v>
      </c>
      <c r="AB186" s="83">
        <f t="shared" si="55"/>
        <v>94664.598470632933</v>
      </c>
      <c r="AC186" s="272">
        <f t="shared" si="55"/>
        <v>95727.47538689099</v>
      </c>
      <c r="AD186" s="355">
        <f t="shared" si="49"/>
        <v>1970610.1343313463</v>
      </c>
    </row>
    <row r="187" spans="1:30" s="110" customFormat="1" ht="12">
      <c r="A187" s="107"/>
      <c r="B187" s="107"/>
      <c r="C187" s="108"/>
      <c r="D187" s="208"/>
      <c r="E187" s="216"/>
      <c r="F187" s="109"/>
      <c r="G187" s="109"/>
      <c r="H187" s="109"/>
      <c r="I187" s="109"/>
      <c r="J187" s="109"/>
      <c r="K187" s="109"/>
      <c r="L187" s="109"/>
      <c r="M187" s="109"/>
      <c r="N187" s="109"/>
      <c r="O187" s="109"/>
      <c r="P187" s="109"/>
      <c r="Q187" s="109"/>
      <c r="R187" s="109"/>
      <c r="S187" s="109"/>
      <c r="T187" s="109"/>
      <c r="U187" s="109"/>
      <c r="V187" s="109"/>
      <c r="W187" s="109"/>
      <c r="X187" s="109"/>
      <c r="Y187" s="109"/>
      <c r="Z187" s="109"/>
      <c r="AC187" s="262"/>
      <c r="AD187" s="337"/>
    </row>
    <row r="188" spans="1:30" s="53" customFormat="1" ht="12">
      <c r="A188" s="58" t="s">
        <v>344</v>
      </c>
      <c r="B188" s="58"/>
      <c r="D188" s="209"/>
      <c r="E188" s="217"/>
      <c r="F188" s="45"/>
      <c r="G188" s="57"/>
      <c r="AC188" s="263"/>
      <c r="AD188" s="338"/>
    </row>
    <row r="189" spans="1:30" s="53" customFormat="1" ht="12">
      <c r="A189" s="55"/>
      <c r="B189" s="55"/>
      <c r="D189" s="209"/>
      <c r="E189" s="217"/>
      <c r="F189" s="45"/>
      <c r="G189" s="57"/>
      <c r="AC189" s="263"/>
      <c r="AD189" s="338"/>
    </row>
    <row r="190" spans="1:30" s="53" customFormat="1" ht="12">
      <c r="A190" s="45"/>
      <c r="B190" s="45"/>
      <c r="C190" s="46" t="s">
        <v>88</v>
      </c>
      <c r="D190" s="209"/>
      <c r="E190" s="217"/>
      <c r="F190" s="45"/>
      <c r="G190" s="57"/>
      <c r="L190" s="61"/>
      <c r="AC190" s="263"/>
      <c r="AD190" s="338"/>
    </row>
    <row r="191" spans="1:30" s="53" customFormat="1" ht="12">
      <c r="A191" s="45"/>
      <c r="B191" s="45"/>
      <c r="C191" s="78" t="s">
        <v>42</v>
      </c>
      <c r="D191" s="209"/>
      <c r="E191" s="217"/>
      <c r="F191" s="45"/>
      <c r="G191" s="57"/>
      <c r="L191" s="61"/>
      <c r="AC191" s="263"/>
      <c r="AD191" s="338"/>
    </row>
    <row r="192" spans="1:30" s="53" customFormat="1" ht="12">
      <c r="A192" s="45"/>
      <c r="B192" s="45"/>
      <c r="C192" s="48" t="s">
        <v>97</v>
      </c>
      <c r="D192" s="209"/>
      <c r="E192" s="219"/>
      <c r="F192" s="71">
        <f>((('Emissions Assumptions'!D9/907185)+('Emissions Assumptions'!D11/907185))*'Forest Glen'!F36)+(('Emissions Assumptions'!D10/907185)*'Forest Glen'!F37)</f>
        <v>0</v>
      </c>
      <c r="G192" s="71">
        <f>((('Emissions Assumptions'!E9/907185)+('Emissions Assumptions'!E11/907185))*'Forest Glen'!G36)+(('Emissions Assumptions'!E10/907185)*'Forest Glen'!G37)</f>
        <v>0</v>
      </c>
      <c r="H192" s="71">
        <f>((('Emissions Assumptions'!F9/907185)+('Emissions Assumptions'!F11/907185))*'Forest Glen'!H36)+(('Emissions Assumptions'!F10/907185)*'Forest Glen'!H37)</f>
        <v>0</v>
      </c>
      <c r="I192" s="71">
        <f>((('Emissions Assumptions'!G9/907185)+('Emissions Assumptions'!G11/907185))*'Forest Glen'!I36)+(('Emissions Assumptions'!G10/907185)*'Forest Glen'!I37)</f>
        <v>0</v>
      </c>
      <c r="J192" s="71">
        <f>((('Emissions Assumptions'!H9/907185)+('Emissions Assumptions'!H11/907185))*'Forest Glen'!J36)+(('Emissions Assumptions'!H10/907185)*'Forest Glen'!J37)</f>
        <v>-7.0983206929136497E-2</v>
      </c>
      <c r="K192" s="71">
        <f>((('Emissions Assumptions'!I9/907185)+('Emissions Assumptions'!I11/907185))*'Forest Glen'!K36)+(('Emissions Assumptions'!I10/907185)*'Forest Glen'!K37)</f>
        <v>-9.1579974940534742E-2</v>
      </c>
      <c r="L192" s="71">
        <f>((('Emissions Assumptions'!J9/907185)+('Emissions Assumptions'!J11/907185))*'Forest Glen'!L36)+(('Emissions Assumptions'!J10/907185)*'Forest Glen'!L37)</f>
        <v>-8.7444191355362064E-2</v>
      </c>
      <c r="M192" s="71">
        <f>((('Emissions Assumptions'!K9/907185)+('Emissions Assumptions'!K11/907185))*'Forest Glen'!M36)+(('Emissions Assumptions'!K10/907185)*'Forest Glen'!M37)</f>
        <v>-5.556757548868678E-2</v>
      </c>
      <c r="N192" s="71">
        <f>((('Emissions Assumptions'!L9/907185)+('Emissions Assumptions'!L11/907185))*'Forest Glen'!N36)+(('Emissions Assumptions'!L10/907185)*'Forest Glen'!N37)</f>
        <v>-7.7808098296089007E-2</v>
      </c>
      <c r="O192" s="71">
        <f>((('Emissions Assumptions'!M9/907185)+('Emissions Assumptions'!M11/907185))*'Forest Glen'!O36)+(('Emissions Assumptions'!M10/907185)*'Forest Glen'!O37)</f>
        <v>-7.2423637518812423E-2</v>
      </c>
      <c r="P192" s="71">
        <f>((('Emissions Assumptions'!N9/907185)+('Emissions Assumptions'!N11/907185))*'Forest Glen'!P36)+(('Emissions Assumptions'!N10/907185)*'Forest Glen'!P37)</f>
        <v>-7.2047211969132538E-2</v>
      </c>
      <c r="Q192" s="71">
        <f>((('Emissions Assumptions'!O9/907185)+('Emissions Assumptions'!O11/907185))*'Forest Glen'!Q36)+(('Emissions Assumptions'!O10/907185)*'Forest Glen'!Q37)</f>
        <v>-7.1663381983438107E-2</v>
      </c>
      <c r="R192" s="71">
        <f>((('Emissions Assumptions'!P9/907185)+('Emissions Assumptions'!P11/907185))*'Forest Glen'!R36)+(('Emissions Assumptions'!P10/907185)*'Forest Glen'!R37)</f>
        <v>-7.1272018936838294E-2</v>
      </c>
      <c r="S192" s="71">
        <f>((('Emissions Assumptions'!Q9/907185)+('Emissions Assumptions'!Q11/907185))*'Forest Glen'!S36)+(('Emissions Assumptions'!Q10/907185)*'Forest Glen'!S37)</f>
        <v>-7.0872992329706633E-2</v>
      </c>
      <c r="T192" s="71">
        <f>((('Emissions Assumptions'!R9/907185)+('Emissions Assumptions'!R11/907185))*'Forest Glen'!T36)+(('Emissions Assumptions'!R10/907185)*'Forest Glen'!T37)</f>
        <v>-7.0466169763048814E-2</v>
      </c>
      <c r="U192" s="71">
        <f>((('Emissions Assumptions'!S9/907185)+('Emissions Assumptions'!S11/907185))*'Forest Glen'!U36)+(('Emissions Assumptions'!S10/907185)*'Forest Glen'!U37)</f>
        <v>-7.0051416913565423E-2</v>
      </c>
      <c r="V192" s="71">
        <f>((('Emissions Assumptions'!T9/907185)+('Emissions Assumptions'!T11/907185))*'Forest Glen'!V36)+(('Emissions Assumptions'!T10/907185)*'Forest Glen'!V37)</f>
        <v>-6.9628597508405499E-2</v>
      </c>
      <c r="W192" s="71">
        <f>((('Emissions Assumptions'!U9/907185)+('Emissions Assumptions'!U11/907185))*'Forest Glen'!W36)+(('Emissions Assumptions'!U10/907185)*'Forest Glen'!W37)</f>
        <v>-6.919757329960799E-2</v>
      </c>
      <c r="X192" s="71">
        <f>((('Emissions Assumptions'!V9/907185)+('Emissions Assumptions'!V11/907185))*'Forest Glen'!X36)+(('Emissions Assumptions'!V10/907185)*'Forest Glen'!X37)</f>
        <v>-6.8923660228834227E-2</v>
      </c>
      <c r="Y192" s="71">
        <f>((('Emissions Assumptions'!W9/907185)+('Emissions Assumptions'!W11/907185))*'Forest Glen'!Y36)+(('Emissions Assumptions'!W10/907185)*'Forest Glen'!Y37)</f>
        <v>-6.8473773949221495E-2</v>
      </c>
      <c r="Z192" s="71">
        <f>((('Emissions Assumptions'!X9/907185)+('Emissions Assumptions'!X11/907185))*'Forest Glen'!Z36)+(('Emissions Assumptions'!X10/907185)*'Forest Glen'!Z37)</f>
        <v>-6.8955077505620341E-2</v>
      </c>
      <c r="AA192" s="71">
        <f>((('Emissions Assumptions'!Y9/907185)+('Emissions Assumptions'!Y11/907185))*'Forest Glen'!AA36)+(('Emissions Assumptions'!Y10/907185)*'Forest Glen'!AA37)</f>
        <v>-6.9441030915227547E-2</v>
      </c>
      <c r="AB192" s="71">
        <f>((('Emissions Assumptions'!Z9/907185)+('Emissions Assumptions'!Z11/907185))*'Forest Glen'!AB36)+(('Emissions Assumptions'!Z10/907185)*'Forest Glen'!AB37)</f>
        <v>-6.993168067657525E-2</v>
      </c>
      <c r="AC192" s="388">
        <f>((('Emissions Assumptions'!AA9/907185)+('Emissions Assumptions'!AA11/907185))*'Forest Glen'!AC36)+(('Emissions Assumptions'!AA10/907185)*'Forest Glen'!AC37)</f>
        <v>-7.0427073753180858E-2</v>
      </c>
      <c r="AD192" s="357">
        <f t="shared" si="49"/>
        <v>-1.4371583442610247</v>
      </c>
    </row>
    <row r="193" spans="1:30" s="53" customFormat="1" ht="12">
      <c r="A193" s="45"/>
      <c r="B193" s="45"/>
      <c r="C193" s="48" t="s">
        <v>98</v>
      </c>
      <c r="D193" s="209"/>
      <c r="E193" s="219"/>
      <c r="F193" s="71">
        <f>(('Emissions Assumptions'!D4/907185)*F31)+(('Emissions Assumptions'!D5/907185)*F32)</f>
        <v>0</v>
      </c>
      <c r="G193" s="71">
        <f>(('Emissions Assumptions'!E4/907185)*G31)+(('Emissions Assumptions'!E5/907185)*G32)</f>
        <v>-0.13117170224375405</v>
      </c>
      <c r="H193" s="71">
        <f>(('Emissions Assumptions'!F4/907185)*H31)+(('Emissions Assumptions'!F5/907185)*H32)</f>
        <v>-0.23028415595604348</v>
      </c>
      <c r="I193" s="71">
        <f>(('Emissions Assumptions'!G4/907185)*I31)+(('Emissions Assumptions'!G5/907185)*I32)</f>
        <v>-0.21449883062504743</v>
      </c>
      <c r="J193" s="71">
        <f>(('Emissions Assumptions'!H4/907185)*J31)+(('Emissions Assumptions'!H5/907185)*J32)</f>
        <v>-0.19865480586152817</v>
      </c>
      <c r="K193" s="71">
        <f>(('Emissions Assumptions'!I4/907185)*K31)+(('Emissions Assumptions'!I5/907185)*K32)</f>
        <v>-0.1827495600326545</v>
      </c>
      <c r="L193" s="71">
        <f>(('Emissions Assumptions'!J4/907185)*L31)+(('Emissions Assumptions'!J5/907185)*L32)</f>
        <v>-0.16678053747131502</v>
      </c>
      <c r="M193" s="71">
        <f>(('Emissions Assumptions'!K4/907185)*M31)+(('Emissions Assumptions'!K5/907185)*M32)</f>
        <v>-0.1507451480475957</v>
      </c>
      <c r="N193" s="71">
        <f>(('Emissions Assumptions'!L4/907185)*N31)+(('Emissions Assumptions'!L5/907185)*N32)</f>
        <v>-0.13594632701440121</v>
      </c>
      <c r="O193" s="71">
        <f>(('Emissions Assumptions'!M4/907185)*O31)+(('Emissions Assumptions'!M5/907185)*O32)</f>
        <v>-0.12075678599417319</v>
      </c>
      <c r="P193" s="71">
        <f>(('Emissions Assumptions'!N4/907185)*P31)+(('Emissions Assumptions'!N5/907185)*P32)</f>
        <v>-0.11992574561334968</v>
      </c>
      <c r="Q193" s="71">
        <f>(('Emissions Assumptions'!O4/907185)*Q31)+(('Emissions Assumptions'!O5/907185)*Q32)</f>
        <v>-0.11904782075860985</v>
      </c>
      <c r="R193" s="71">
        <f>(('Emissions Assumptions'!P4/907185)*R31)+(('Emissions Assumptions'!P5/907185)*R32)</f>
        <v>-0.11812269539456847</v>
      </c>
      <c r="S193" s="71">
        <f>(('Emissions Assumptions'!Q4/907185)*S31)+(('Emissions Assumptions'!Q5/907185)*S32)</f>
        <v>-0.11715004904817961</v>
      </c>
      <c r="T193" s="71">
        <f>(('Emissions Assumptions'!R4/907185)*T31)+(('Emissions Assumptions'!R5/907185)*T32)</f>
        <v>-0.1161295567515867</v>
      </c>
      <c r="U193" s="71">
        <f>(('Emissions Assumptions'!S4/907185)*U31)+(('Emissions Assumptions'!S5/907185)*U32)</f>
        <v>-0.11506088898427413</v>
      </c>
      <c r="V193" s="71">
        <f>(('Emissions Assumptions'!T4/907185)*V31)+(('Emissions Assumptions'!T5/907185)*V32)</f>
        <v>-0.11394371161451036</v>
      </c>
      <c r="W193" s="71">
        <f>(('Emissions Assumptions'!U4/907185)*W31)+(('Emissions Assumptions'!U5/907185)*W32)</f>
        <v>-0.11277768584007582</v>
      </c>
      <c r="X193" s="71">
        <f>(('Emissions Assumptions'!V4/907185)*X31)+(('Emissions Assumptions'!V5/907185)*X32)</f>
        <v>-0.11165724034877388</v>
      </c>
      <c r="Y193" s="71">
        <f>(('Emissions Assumptions'!W4/907185)*Y31)+(('Emissions Assumptions'!W5/907185)*Y32)</f>
        <v>-0.11048311082598225</v>
      </c>
      <c r="Z193" s="71">
        <f>(('Emissions Assumptions'!X4/907185)*Z31)+(('Emissions Assumptions'!X5/907185)*Z32)</f>
        <v>-0.11180553810162389</v>
      </c>
      <c r="AA193" s="71">
        <f>(('Emissions Assumptions'!Y4/907185)*AA31)+(('Emissions Assumptions'!Y5/907185)*AA32)</f>
        <v>-0.11313398668178221</v>
      </c>
      <c r="AB193" s="71">
        <f>(('Emissions Assumptions'!Z4/907185)*AB31)+(('Emissions Assumptions'!Z5/907185)*AB32)</f>
        <v>-0.11446851677950232</v>
      </c>
      <c r="AC193" s="388">
        <f>(('Emissions Assumptions'!AA4/907185)*AC31)+(('Emissions Assumptions'!AA5/907185)*AC32)</f>
        <v>-0.1158091892099599</v>
      </c>
      <c r="AD193" s="357">
        <f t="shared" si="49"/>
        <v>-3.1411035891992918</v>
      </c>
    </row>
    <row r="194" spans="1:30" s="53" customFormat="1" ht="12">
      <c r="A194" s="45"/>
      <c r="B194" s="45"/>
      <c r="C194" s="48" t="s">
        <v>99</v>
      </c>
      <c r="D194" s="209"/>
      <c r="E194" s="219"/>
      <c r="F194" s="71">
        <f>(('Emissions Assumptions'!D14/907185)*F31)+(('Emissions Assumptions'!D18/907185)*F32)+(('Emissions Assumptions'!D19/907185)*F31)</f>
        <v>0</v>
      </c>
      <c r="G194" s="71">
        <f>(('Emissions Assumptions'!E14/907185)*G31)+(('Emissions Assumptions'!E18/907185)*G32)+(('Emissions Assumptions'!E19/907185)*G31)</f>
        <v>-0.18191240546305326</v>
      </c>
      <c r="H194" s="71">
        <f>(('Emissions Assumptions'!F14/907185)*H31)+(('Emissions Assumptions'!F18/907185)*H32)+(('Emissions Assumptions'!F19/907185)*H31)</f>
        <v>-0.32356720792608412</v>
      </c>
      <c r="I194" s="71">
        <f>(('Emissions Assumptions'!G14/907185)*I31)+(('Emissions Assumptions'!G18/907185)*I32)+(('Emissions Assumptions'!G19/907185)*I31)</f>
        <v>-0.30097663340746272</v>
      </c>
      <c r="J194" s="71">
        <f>(('Emissions Assumptions'!H14/907185)*J31)+(('Emissions Assumptions'!H18/907185)*J32)+(('Emissions Assumptions'!H19/907185)*J31)</f>
        <v>-0.27830796556798609</v>
      </c>
      <c r="K194" s="71">
        <f>(('Emissions Assumptions'!I14/907185)*K31)+(('Emissions Assumptions'!I18/907185)*K32)+(('Emissions Assumptions'!I19/907185)*K31)</f>
        <v>-0.2555576537008229</v>
      </c>
      <c r="L194" s="71">
        <f>(('Emissions Assumptions'!J14/907185)*L31)+(('Emissions Assumptions'!J18/907185)*L32)+(('Emissions Assumptions'!J19/907185)*L31)</f>
        <v>-0.23272209918489276</v>
      </c>
      <c r="M194" s="71">
        <f>(('Emissions Assumptions'!K14/907185)*M31)+(('Emissions Assumptions'!K18/907185)*M32)+(('Emissions Assumptions'!K19/907185)*M31)</f>
        <v>-0.20979765488165319</v>
      </c>
      <c r="N194" s="71">
        <f>(('Emissions Assumptions'!L14/907185)*N31)+(('Emissions Assumptions'!L18/907185)*N32)+(('Emissions Assumptions'!L19/907185)*N31)</f>
        <v>-0.18862154989897603</v>
      </c>
      <c r="O194" s="71">
        <f>(('Emissions Assumptions'!M14/907185)*O31)+(('Emissions Assumptions'!M18/907185)*O32)+(('Emissions Assumptions'!M19/907185)*O31)</f>
        <v>-0.16688572735688484</v>
      </c>
      <c r="P194" s="71">
        <f>(('Emissions Assumptions'!N14/907185)*P31)+(('Emissions Assumptions'!N18/907185)*P32)+(('Emissions Assumptions'!N19/907185)*P31)</f>
        <v>-0.16438575013418222</v>
      </c>
      <c r="Q194" s="71">
        <f>(('Emissions Assumptions'!O14/907185)*Q31)+(('Emissions Assumptions'!O18/907185)*Q32)+(('Emissions Assumptions'!O19/907185)*Q31)</f>
        <v>-0.16178817614578958</v>
      </c>
      <c r="R194" s="71">
        <f>(('Emissions Assumptions'!P14/907185)*R31)+(('Emissions Assumptions'!P18/907185)*R32)+(('Emissions Assumptions'!P19/907185)*R31)</f>
        <v>-0.15909236238479935</v>
      </c>
      <c r="S194" s="71">
        <f>(('Emissions Assumptions'!Q14/907185)*S31)+(('Emissions Assumptions'!Q18/907185)*S32)+(('Emissions Assumptions'!Q19/907185)*S31)</f>
        <v>-0.15629765696547412</v>
      </c>
      <c r="T194" s="71">
        <f>(('Emissions Assumptions'!R14/907185)*T31)+(('Emissions Assumptions'!R18/907185)*T32)+(('Emissions Assumptions'!R19/907185)*T31)</f>
        <v>-0.15340339900997088</v>
      </c>
      <c r="U194" s="71">
        <f>(('Emissions Assumptions'!S14/907185)*U31)+(('Emissions Assumptions'!S18/907185)*U32)+(('Emissions Assumptions'!S19/907185)*U31)</f>
        <v>-0.15040891853368737</v>
      </c>
      <c r="V194" s="71">
        <f>(('Emissions Assumptions'!T14/907185)*V31)+(('Emissions Assumptions'!T18/907185)*V32)+(('Emissions Assumptions'!T19/907185)*V31)</f>
        <v>-0.14731353632921487</v>
      </c>
      <c r="W194" s="71">
        <f>(('Emissions Assumptions'!U14/907185)*W31)+(('Emissions Assumptions'!U18/907185)*W32)+(('Emissions Assumptions'!U19/907185)*W31)</f>
        <v>-0.14411656384888025</v>
      </c>
      <c r="X194" s="71">
        <f>(('Emissions Assumptions'!V14/907185)*X31)+(('Emissions Assumptions'!V18/907185)*X32)+(('Emissions Assumptions'!V19/907185)*X31)</f>
        <v>-0.14093815684004077</v>
      </c>
      <c r="Y194" s="71">
        <f>(('Emissions Assumptions'!W14/907185)*Y31)+(('Emissions Assumptions'!W18/907185)*Y32)+(('Emissions Assumptions'!W19/907185)*Y31)</f>
        <v>-0.13764821891339335</v>
      </c>
      <c r="Z194" s="71">
        <f>(('Emissions Assumptions'!X14/907185)*Z31)+(('Emissions Assumptions'!X18/907185)*Z32)+(('Emissions Assumptions'!X19/907185)*Z31)</f>
        <v>-0.13929836480239158</v>
      </c>
      <c r="AA194" s="71">
        <f>(('Emissions Assumptions'!Y14/907185)*AA31)+(('Emissions Assumptions'!Y18/907185)*AA32)+(('Emissions Assumptions'!Y19/907185)*AA31)</f>
        <v>-0.14095595320883697</v>
      </c>
      <c r="AB194" s="71">
        <f>(('Emissions Assumptions'!Z14/907185)*AB31)+(('Emissions Assumptions'!Z18/907185)*AB32)+(('Emissions Assumptions'!Z19/907185)*AB31)</f>
        <v>-0.14262105855790394</v>
      </c>
      <c r="AC194" s="388">
        <f>(('Emissions Assumptions'!AA14/907185)*AC31)+(('Emissions Assumptions'!AA18/907185)*AC32)+(('Emissions Assumptions'!AA19/907185)*AC31)</f>
        <v>-0.14429375601901878</v>
      </c>
      <c r="AD194" s="357">
        <f t="shared" si="49"/>
        <v>-4.2209107690813994</v>
      </c>
    </row>
    <row r="195" spans="1:30" s="53" customFormat="1" ht="12">
      <c r="A195" s="45"/>
      <c r="B195" s="45"/>
      <c r="C195" s="48" t="s">
        <v>100</v>
      </c>
      <c r="D195" s="209"/>
      <c r="E195" s="219"/>
      <c r="F195" s="71">
        <f>('Emissions Assumptions'!D21/907185)*F32</f>
        <v>0</v>
      </c>
      <c r="G195" s="71">
        <f>('Emissions Assumptions'!E21/907185)*G32</f>
        <v>-131.24589265322825</v>
      </c>
      <c r="H195" s="71">
        <f>('Emissions Assumptions'!F21/907185)*H32</f>
        <v>-247.6454261123659</v>
      </c>
      <c r="I195" s="71">
        <f>('Emissions Assumptions'!G21/907185)*I32</f>
        <v>-242.18470481461833</v>
      </c>
      <c r="J195" s="71">
        <f>('Emissions Assumptions'!H21/907185)*J32</f>
        <v>-236.71403004221392</v>
      </c>
      <c r="K195" s="71">
        <f>('Emissions Assumptions'!I21/907185)*K32</f>
        <v>-231.23259415113574</v>
      </c>
      <c r="L195" s="71">
        <f>('Emissions Assumptions'!J21/907185)*L32</f>
        <v>-225.73957829722778</v>
      </c>
      <c r="M195" s="71">
        <f>('Emissions Assumptions'!K21/907185)*M32</f>
        <v>-220.23415229295711</v>
      </c>
      <c r="N195" s="71">
        <f>('Emissions Assumptions'!L21/907185)*N32</f>
        <v>-216.86586483928352</v>
      </c>
      <c r="O195" s="71">
        <f>('Emissions Assumptions'!M21/907185)*O32</f>
        <v>-213.3635420787536</v>
      </c>
      <c r="P195" s="71">
        <f>('Emissions Assumptions'!N21/907185)*P32</f>
        <v>-213.16743713735065</v>
      </c>
      <c r="Q195" s="71">
        <f>('Emissions Assumptions'!O21/907185)*Q32</f>
        <v>-212.91741139875307</v>
      </c>
      <c r="R195" s="71">
        <f>('Emissions Assumptions'!P21/907185)*R32</f>
        <v>-212.61313393899729</v>
      </c>
      <c r="S195" s="71">
        <f>('Emissions Assumptions'!Q21/907185)*S32</f>
        <v>-212.25426903648844</v>
      </c>
      <c r="T195" s="71">
        <f>('Emissions Assumptions'!R21/907185)*T32</f>
        <v>-211.84047610913987</v>
      </c>
      <c r="U195" s="71">
        <f>('Emissions Assumptions'!S21/907185)*U32</f>
        <v>-211.37140965073604</v>
      </c>
      <c r="V195" s="71">
        <f>('Emissions Assumptions'!T21/907185)*V32</f>
        <v>-210.84671916650771</v>
      </c>
      <c r="W195" s="71">
        <f>('Emissions Assumptions'!U21/907185)*W32</f>
        <v>-210.26604910791139</v>
      </c>
      <c r="X195" s="71">
        <f>('Emissions Assumptions'!V21/907185)*X32</f>
        <v>-209.8121853371411</v>
      </c>
      <c r="Y195" s="71">
        <f>('Emissions Assumptions'!W21/907185)*Y32</f>
        <v>-209.29634051272876</v>
      </c>
      <c r="Z195" s="71">
        <f>('Emissions Assumptions'!X21/907185)*Z32</f>
        <v>-211.81301412173357</v>
      </c>
      <c r="AA195" s="71">
        <f>('Emissions Assumptions'!Y21/907185)*AA32</f>
        <v>-214.34082861711744</v>
      </c>
      <c r="AB195" s="71">
        <f>('Emissions Assumptions'!Z21/907185)*AB32</f>
        <v>-216.87989540774413</v>
      </c>
      <c r="AC195" s="388">
        <f>('Emissions Assumptions'!AA21/907185)*AC32</f>
        <v>-219.43032701656605</v>
      </c>
      <c r="AD195" s="357">
        <f t="shared" si="49"/>
        <v>-4942.0752818406991</v>
      </c>
    </row>
    <row r="196" spans="1:30" s="53" customFormat="1" ht="12">
      <c r="A196" s="45"/>
      <c r="B196" s="45"/>
      <c r="C196" s="224" t="s">
        <v>647</v>
      </c>
      <c r="D196" s="209"/>
      <c r="E196" s="219"/>
      <c r="F196" s="71">
        <f>('Emissions Assumptions'!D25/907185)*F32</f>
        <v>0</v>
      </c>
      <c r="G196" s="71">
        <f>('Emissions Assumptions'!E25/907185)*G32</f>
        <v>-2.5587840407414143E-3</v>
      </c>
      <c r="H196" s="71">
        <f>('Emissions Assumptions'!F25/907185)*H32</f>
        <v>-4.9434596641369363E-3</v>
      </c>
      <c r="I196" s="71">
        <f>('Emissions Assumptions'!G25/907185)*I32</f>
        <v>-4.9527690548942715E-3</v>
      </c>
      <c r="J196" s="71">
        <f>('Emissions Assumptions'!H25/907185)*J32</f>
        <v>-4.962336882839721E-3</v>
      </c>
      <c r="K196" s="71">
        <f>('Emissions Assumptions'!I25/907185)*K32</f>
        <v>-5.0299816129538303E-3</v>
      </c>
      <c r="L196" s="71">
        <f>('Emissions Assumptions'!J25/907185)*L32</f>
        <v>-5.040191448668371E-3</v>
      </c>
      <c r="M196" s="71">
        <f>('Emissions Assumptions'!K25/907185)*M32</f>
        <v>-5.0506706486168852E-3</v>
      </c>
      <c r="N196" s="71">
        <f>('Emissions Assumptions'!L25/907185)*N32</f>
        <v>-5.1121123980704892E-3</v>
      </c>
      <c r="O196" s="71">
        <f>('Emissions Assumptions'!M25/907185)*O32</f>
        <v>-5.1738289259791667E-3</v>
      </c>
      <c r="P196" s="71">
        <f>('Emissions Assumptions'!N25/907185)*P32</f>
        <v>-5.2358229801274707E-3</v>
      </c>
      <c r="Q196" s="71">
        <f>('Emissions Assumptions'!O25/907185)*Q32</f>
        <v>-5.2980973357777961E-3</v>
      </c>
      <c r="R196" s="71">
        <f>('Emissions Assumptions'!P25/907185)*R32</f>
        <v>-5.3606547959451642E-3</v>
      </c>
      <c r="S196" s="71">
        <f>('Emissions Assumptions'!Q25/907185)*S32</f>
        <v>-5.4234981916747469E-3</v>
      </c>
      <c r="T196" s="71">
        <f>('Emissions Assumptions'!R25/907185)*T32</f>
        <v>-5.4866303823221619E-3</v>
      </c>
      <c r="U196" s="71">
        <f>('Emissions Assumptions'!S25/907185)*U32</f>
        <v>-5.5500542558365919E-3</v>
      </c>
      <c r="V196" s="71">
        <f>('Emissions Assumptions'!T25/907185)*V32</f>
        <v>-5.6137727290467062E-3</v>
      </c>
      <c r="W196" s="71">
        <f>('Emissions Assumptions'!U25/907185)*W32</f>
        <v>-5.677788747949458E-3</v>
      </c>
      <c r="X196" s="71">
        <f>('Emissions Assumptions'!V25/907185)*X32</f>
        <v>-5.7471219911621073E-3</v>
      </c>
      <c r="Y196" s="71">
        <f>('Emissions Assumptions'!W25/907185)*Y32</f>
        <v>-5.8836180568362286E-3</v>
      </c>
      <c r="Z196" s="71">
        <f>('Emissions Assumptions'!X25/907185)*Z32</f>
        <v>-5.9543653343702256E-3</v>
      </c>
      <c r="AA196" s="71">
        <f>('Emissions Assumptions'!Y25/907185)*AA32</f>
        <v>-6.0254257980789476E-3</v>
      </c>
      <c r="AB196" s="71">
        <f>('Emissions Assumptions'!Z25/907185)*AB32</f>
        <v>-6.0968025798241385E-3</v>
      </c>
      <c r="AC196" s="388">
        <f>('Emissions Assumptions'!AA25/907185)*AC32</f>
        <v>-6.1684988427861661E-3</v>
      </c>
      <c r="AD196" s="357"/>
    </row>
    <row r="197" spans="1:30" s="53" customFormat="1" ht="12">
      <c r="A197" s="45"/>
      <c r="B197" s="45"/>
      <c r="C197" s="70" t="s">
        <v>115</v>
      </c>
      <c r="D197" s="209"/>
      <c r="E197" s="217"/>
      <c r="F197" s="45"/>
      <c r="G197" s="45"/>
      <c r="H197" s="45"/>
      <c r="I197" s="45"/>
      <c r="J197" s="45"/>
      <c r="K197" s="45"/>
      <c r="L197" s="45"/>
      <c r="M197" s="45"/>
      <c r="N197" s="45"/>
      <c r="O197" s="45"/>
      <c r="P197" s="45"/>
      <c r="Q197" s="45"/>
      <c r="R197" s="45"/>
      <c r="S197" s="45"/>
      <c r="T197" s="45"/>
      <c r="U197" s="45"/>
      <c r="V197" s="45"/>
      <c r="W197" s="45"/>
      <c r="X197" s="45"/>
      <c r="Y197" s="45"/>
      <c r="Z197" s="45"/>
      <c r="AA197" s="45"/>
      <c r="AB197" s="45"/>
      <c r="AC197" s="263"/>
      <c r="AD197" s="338"/>
    </row>
    <row r="198" spans="1:30" s="53" customFormat="1" ht="12">
      <c r="A198" s="45"/>
      <c r="B198" s="45"/>
      <c r="C198" s="48" t="s">
        <v>43</v>
      </c>
      <c r="D198" s="209"/>
      <c r="E198" s="220"/>
      <c r="F198" s="56">
        <f>-(F192*'Emissions Assumptions'!D12)</f>
        <v>0</v>
      </c>
      <c r="G198" s="56">
        <f>-(G192*'Emissions Assumptions'!E12)</f>
        <v>0</v>
      </c>
      <c r="H198" s="56">
        <f>-(H192*'Emissions Assumptions'!F12)</f>
        <v>0</v>
      </c>
      <c r="I198" s="56">
        <f>-(I192*'Emissions Assumptions'!G12)</f>
        <v>0</v>
      </c>
      <c r="J198" s="56">
        <f>-(J192*'Emissions Assumptions'!H12)</f>
        <v>92.278169007877452</v>
      </c>
      <c r="K198" s="56">
        <f>-(K192*'Emissions Assumptions'!I12)</f>
        <v>119.05396742269517</v>
      </c>
      <c r="L198" s="56">
        <f>-(L192*'Emissions Assumptions'!J12)</f>
        <v>113.67744876197068</v>
      </c>
      <c r="M198" s="56">
        <f>-(M192*'Emissions Assumptions'!K12)</f>
        <v>72.237848135292808</v>
      </c>
      <c r="N198" s="56">
        <f>-(N192*'Emissions Assumptions'!L12)</f>
        <v>101.15052778491571</v>
      </c>
      <c r="O198" s="56">
        <f>-(O192*'Emissions Assumptions'!M12)</f>
        <v>94.150728774456155</v>
      </c>
      <c r="P198" s="56">
        <f>-(P192*'Emissions Assumptions'!N12)</f>
        <v>93.661375559872297</v>
      </c>
      <c r="Q198" s="56">
        <f>-(Q192*'Emissions Assumptions'!O12)</f>
        <v>93.16239657846954</v>
      </c>
      <c r="R198" s="56">
        <f>-(R192*'Emissions Assumptions'!P12)</f>
        <v>92.653624617889776</v>
      </c>
      <c r="S198" s="56">
        <f>-(S192*'Emissions Assumptions'!Q12)</f>
        <v>92.134890028618628</v>
      </c>
      <c r="T198" s="56">
        <f>-(T192*'Emissions Assumptions'!R12)</f>
        <v>91.606020691963451</v>
      </c>
      <c r="U198" s="56">
        <f>-(U192*'Emissions Assumptions'!S12)</f>
        <v>91.066841987635044</v>
      </c>
      <c r="V198" s="56">
        <f>-(V192*'Emissions Assumptions'!T12)</f>
        <v>90.517176760927143</v>
      </c>
      <c r="W198" s="56">
        <f>-(W192*'Emissions Assumptions'!U12)</f>
        <v>89.956845289490388</v>
      </c>
      <c r="X198" s="56">
        <f>-(X192*'Emissions Assumptions'!V12)</f>
        <v>89.600758297484489</v>
      </c>
      <c r="Y198" s="56">
        <f>-(Y192*'Emissions Assumptions'!W12)</f>
        <v>89.01590613398794</v>
      </c>
      <c r="Z198" s="56">
        <f>-(Z192*'Emissions Assumptions'!X12)</f>
        <v>89.641600757306449</v>
      </c>
      <c r="AA198" s="56">
        <f>-(AA192*'Emissions Assumptions'!Y12)</f>
        <v>90.273340189795817</v>
      </c>
      <c r="AB198" s="56">
        <f>-(AB192*'Emissions Assumptions'!Z12)</f>
        <v>90.911184879547832</v>
      </c>
      <c r="AC198" s="389">
        <f>-(AC192*'Emissions Assumptions'!AA12)</f>
        <v>91.555195879135113</v>
      </c>
      <c r="AD198" s="358">
        <f t="shared" si="49"/>
        <v>1868.3058475393323</v>
      </c>
    </row>
    <row r="199" spans="1:30" ht="13.5">
      <c r="A199" s="45"/>
      <c r="B199" s="45"/>
      <c r="C199" s="48" t="s">
        <v>119</v>
      </c>
      <c r="D199" s="209"/>
      <c r="E199" s="220"/>
      <c r="F199" s="56">
        <f>-(F193*'Emissions Assumptions'!D6)</f>
        <v>0</v>
      </c>
      <c r="G199" s="56">
        <f>-(G193*'Emissions Assumptions'!E6)</f>
        <v>695.21002189189642</v>
      </c>
      <c r="H199" s="56">
        <f>-(H193*'Emissions Assumptions'!F6)</f>
        <v>1220.5060265670304</v>
      </c>
      <c r="I199" s="56">
        <f>-(I193*'Emissions Assumptions'!G6)</f>
        <v>1136.8438023127514</v>
      </c>
      <c r="J199" s="56">
        <f>-(J193*'Emissions Assumptions'!H6)</f>
        <v>1052.8704710660993</v>
      </c>
      <c r="K199" s="56">
        <f>-(K193*'Emissions Assumptions'!I6)</f>
        <v>968.57266817306879</v>
      </c>
      <c r="L199" s="56">
        <f>-(L193*'Emissions Assumptions'!J6)</f>
        <v>883.93684859796963</v>
      </c>
      <c r="M199" s="56">
        <f>-(M193*'Emissions Assumptions'!K6)</f>
        <v>798.94928465225723</v>
      </c>
      <c r="N199" s="56">
        <f>-(N193*'Emissions Assumptions'!L6)</f>
        <v>720.51553317632636</v>
      </c>
      <c r="O199" s="56">
        <f>-(O193*'Emissions Assumptions'!M6)</f>
        <v>640.01096576911789</v>
      </c>
      <c r="P199" s="56">
        <f>-(P193*'Emissions Assumptions'!N6)</f>
        <v>635.60645175075331</v>
      </c>
      <c r="Q199" s="56">
        <f>-(Q193*'Emissions Assumptions'!O6)</f>
        <v>630.9534500206322</v>
      </c>
      <c r="R199" s="56">
        <f>-(R193*'Emissions Assumptions'!P6)</f>
        <v>626.05028559121297</v>
      </c>
      <c r="S199" s="56">
        <f>-(S193*'Emissions Assumptions'!Q6)</f>
        <v>620.89525995535189</v>
      </c>
      <c r="T199" s="56">
        <f>-(T193*'Emissions Assumptions'!R6)</f>
        <v>615.48665078340957</v>
      </c>
      <c r="U199" s="56">
        <f>-(U193*'Emissions Assumptions'!S6)</f>
        <v>609.8227116166529</v>
      </c>
      <c r="V199" s="56">
        <f>-(V193*'Emissions Assumptions'!T6)</f>
        <v>603.90167155690494</v>
      </c>
      <c r="W199" s="56">
        <f>-(W193*'Emissions Assumptions'!U6)</f>
        <v>597.72173495240179</v>
      </c>
      <c r="X199" s="56">
        <f>-(X193*'Emissions Assumptions'!V6)</f>
        <v>591.78337384850158</v>
      </c>
      <c r="Y199" s="56">
        <f>-(Y193*'Emissions Assumptions'!W6)</f>
        <v>585.56048737770595</v>
      </c>
      <c r="Z199" s="56">
        <f>-(Z193*'Emissions Assumptions'!X6)</f>
        <v>592.56935193860659</v>
      </c>
      <c r="AA199" s="56">
        <f>-(AA193*'Emissions Assumptions'!Y6)</f>
        <v>599.61012941344575</v>
      </c>
      <c r="AB199" s="56">
        <f>-(AB193*'Emissions Assumptions'!Z6)</f>
        <v>606.68313893136224</v>
      </c>
      <c r="AC199" s="389">
        <f>-(AC193*'Emissions Assumptions'!AA6)</f>
        <v>613.78870281278751</v>
      </c>
      <c r="AD199" s="358">
        <f t="shared" si="49"/>
        <v>16647.849022756247</v>
      </c>
    </row>
    <row r="200" spans="1:30" ht="13.5">
      <c r="A200" s="45"/>
      <c r="B200" s="45"/>
      <c r="C200" s="48" t="s">
        <v>117</v>
      </c>
      <c r="D200" s="209"/>
      <c r="E200" s="220"/>
      <c r="F200" s="56">
        <f>-(F194*'Emissions Assumptions'!D15)</f>
        <v>0</v>
      </c>
      <c r="G200" s="56">
        <f>-(G194*'Emissions Assumptions'!E15)</f>
        <v>52754.597584285446</v>
      </c>
      <c r="H200" s="56">
        <f>-(H194*'Emissions Assumptions'!F15)</f>
        <v>93834.4902985644</v>
      </c>
      <c r="I200" s="56">
        <f>-(I194*'Emissions Assumptions'!G15)</f>
        <v>87283.223688164187</v>
      </c>
      <c r="J200" s="56">
        <f>-(J194*'Emissions Assumptions'!H15)</f>
        <v>80709.310014715971</v>
      </c>
      <c r="K200" s="56">
        <f>-(K194*'Emissions Assumptions'!I15)</f>
        <v>74111.719573238646</v>
      </c>
      <c r="L200" s="56">
        <f>-(L194*'Emissions Assumptions'!J15)</f>
        <v>67489.408763618892</v>
      </c>
      <c r="M200" s="56">
        <f>-(M194*'Emissions Assumptions'!K15)</f>
        <v>60841.319915679429</v>
      </c>
      <c r="N200" s="56">
        <f>-(N194*'Emissions Assumptions'!L15)</f>
        <v>54700.249470703049</v>
      </c>
      <c r="O200" s="56">
        <f>-(O194*'Emissions Assumptions'!M15)</f>
        <v>48396.860933496602</v>
      </c>
      <c r="P200" s="56">
        <f>-(P194*'Emissions Assumptions'!N15)</f>
        <v>47671.86753891284</v>
      </c>
      <c r="Q200" s="56">
        <f>-(Q194*'Emissions Assumptions'!O15)</f>
        <v>46918.571082278977</v>
      </c>
      <c r="R200" s="56">
        <f>-(R194*'Emissions Assumptions'!P15)</f>
        <v>46136.78509159181</v>
      </c>
      <c r="S200" s="56">
        <f>-(S194*'Emissions Assumptions'!Q15)</f>
        <v>45326.320519987494</v>
      </c>
      <c r="T200" s="56">
        <f>-(T194*'Emissions Assumptions'!R15)</f>
        <v>44486.985712891554</v>
      </c>
      <c r="U200" s="56">
        <f>-(U194*'Emissions Assumptions'!S15)</f>
        <v>43618.586374769337</v>
      </c>
      <c r="V200" s="56">
        <f>-(V194*'Emissions Assumptions'!T15)</f>
        <v>42720.925535472314</v>
      </c>
      <c r="W200" s="56">
        <f>-(W194*'Emissions Assumptions'!U15)</f>
        <v>41793.80351617527</v>
      </c>
      <c r="X200" s="56">
        <f>-(X194*'Emissions Assumptions'!V15)</f>
        <v>40872.065483611819</v>
      </c>
      <c r="Y200" s="56">
        <f>-(Y194*'Emissions Assumptions'!W15)</f>
        <v>39917.983484884069</v>
      </c>
      <c r="Z200" s="56">
        <f>-(Z194*'Emissions Assumptions'!X15)</f>
        <v>40396.525792693559</v>
      </c>
      <c r="AA200" s="56">
        <f>-(AA194*'Emissions Assumptions'!Y15)</f>
        <v>40877.226430562725</v>
      </c>
      <c r="AB200" s="56">
        <f>-(AB194*'Emissions Assumptions'!Z15)</f>
        <v>41360.106981792145</v>
      </c>
      <c r="AC200" s="389">
        <f>-(AC194*'Emissions Assumptions'!AA15)</f>
        <v>41845.189245515445</v>
      </c>
      <c r="AD200" s="358">
        <f t="shared" si="49"/>
        <v>1224064.123033606</v>
      </c>
    </row>
    <row r="201" spans="1:30" s="53" customFormat="1" ht="13.5">
      <c r="A201" s="45"/>
      <c r="B201" s="45"/>
      <c r="C201" s="48" t="s">
        <v>118</v>
      </c>
      <c r="D201" s="209"/>
      <c r="E201" s="220"/>
      <c r="F201" s="56">
        <f>-(F195*'Emissions Assumptions'!D22)</f>
        <v>0</v>
      </c>
      <c r="G201" s="56">
        <f>-(G195*'Emissions Assumptions'!E22)</f>
        <v>2939.9079954323129</v>
      </c>
      <c r="H201" s="56">
        <f>-(H195*'Emissions Assumptions'!F22)</f>
        <v>5646.3157153619422</v>
      </c>
      <c r="I201" s="56">
        <f>-(I195*'Emissions Assumptions'!G22)</f>
        <v>5642.9036221806073</v>
      </c>
      <c r="J201" s="56">
        <f>-(J195*'Emissions Assumptions'!H22)</f>
        <v>5633.7939150046914</v>
      </c>
      <c r="K201" s="56">
        <f>-(K195*'Emissions Assumptions'!I22)</f>
        <v>5618.9520378725983</v>
      </c>
      <c r="L201" s="56">
        <f>-(L195*'Emissions Assumptions'!J22)</f>
        <v>5598.3415417712495</v>
      </c>
      <c r="M201" s="56">
        <f>-(M195*'Emissions Assumptions'!K22)</f>
        <v>5571.924053011815</v>
      </c>
      <c r="N201" s="56">
        <f>-(N195*'Emissions Assumptions'!L22)</f>
        <v>5595.1393128535146</v>
      </c>
      <c r="O201" s="56">
        <f>-(O195*'Emissions Assumptions'!M22)</f>
        <v>5611.4611566712201</v>
      </c>
      <c r="P201" s="56">
        <f>-(P195*'Emissions Assumptions'!N22)</f>
        <v>5755.5208027084673</v>
      </c>
      <c r="Q201" s="56">
        <f>-(Q195*'Emissions Assumptions'!O22)</f>
        <v>5876.5205546055849</v>
      </c>
      <c r="R201" s="56">
        <f>-(R195*'Emissions Assumptions'!P22)</f>
        <v>6016.9516904736238</v>
      </c>
      <c r="S201" s="56">
        <f>-(S195*'Emissions Assumptions'!Q22)</f>
        <v>6134.1483751545156</v>
      </c>
      <c r="T201" s="56">
        <f>-(T195*'Emissions Assumptions'!R22)</f>
        <v>6270.4780928305408</v>
      </c>
      <c r="U201" s="56">
        <f>-(U195*'Emissions Assumptions'!S22)</f>
        <v>6383.4165714522287</v>
      </c>
      <c r="V201" s="56">
        <f>-(V195*'Emissions Assumptions'!T22)</f>
        <v>6515.1636222450879</v>
      </c>
      <c r="W201" s="56">
        <f>-(W195*'Emissions Assumptions'!U22)</f>
        <v>6623.3805468992086</v>
      </c>
      <c r="X201" s="56">
        <f>-(X195*'Emissions Assumptions'!V22)</f>
        <v>6734.9711493222294</v>
      </c>
      <c r="Y201" s="56">
        <f>-(Y195*'Emissions Assumptions'!W22)</f>
        <v>6864.9199688175031</v>
      </c>
      <c r="Z201" s="56">
        <f>-(Z195*'Emissions Assumptions'!X22)</f>
        <v>7074.554671665901</v>
      </c>
      <c r="AA201" s="56">
        <f>-(AA195*'Emissions Assumptions'!Y22)</f>
        <v>7309.0222558437054</v>
      </c>
      <c r="AB201" s="56">
        <f>-(AB195*'Emissions Assumptions'!Z22)</f>
        <v>7525.7323706487223</v>
      </c>
      <c r="AC201" s="389">
        <f>-(AC195*'Emissions Assumptions'!AA22)</f>
        <v>7767.8335763864379</v>
      </c>
      <c r="AD201" s="358">
        <f t="shared" si="49"/>
        <v>140711.3535992137</v>
      </c>
    </row>
    <row r="202" spans="1:30" s="53" customFormat="1" ht="12">
      <c r="A202" s="45"/>
      <c r="B202" s="45"/>
      <c r="C202" s="224" t="s">
        <v>645</v>
      </c>
      <c r="D202" s="209"/>
      <c r="E202" s="220"/>
      <c r="F202" s="56">
        <f>-(F196*'Emissions Assumptions'!D26)</f>
        <v>0</v>
      </c>
      <c r="G202" s="56">
        <f>-(G196*'Emissions Assumptions'!E26)</f>
        <v>79.322305262983846</v>
      </c>
      <c r="H202" s="56">
        <f>-(H196*'Emissions Assumptions'!F26)</f>
        <v>153.24724958824501</v>
      </c>
      <c r="I202" s="56">
        <f>-(I196*'Emissions Assumptions'!G26)</f>
        <v>153.53584070172241</v>
      </c>
      <c r="J202" s="56">
        <f>-(J196*'Emissions Assumptions'!H26)</f>
        <v>153.83244336803136</v>
      </c>
      <c r="K202" s="56">
        <f>-(K196*'Emissions Assumptions'!I26)</f>
        <v>155.92943000156873</v>
      </c>
      <c r="L202" s="56">
        <f>-(L196*'Emissions Assumptions'!J26)</f>
        <v>156.24593490871951</v>
      </c>
      <c r="M202" s="56">
        <f>-(M196*'Emissions Assumptions'!K26)</f>
        <v>156.57079010712343</v>
      </c>
      <c r="N202" s="56">
        <f>-(N196*'Emissions Assumptions'!L26)</f>
        <v>158.47548434018518</v>
      </c>
      <c r="O202" s="56">
        <f>-(O196*'Emissions Assumptions'!M26)</f>
        <v>160.38869670535416</v>
      </c>
      <c r="P202" s="56">
        <f>-(P196*'Emissions Assumptions'!N26)</f>
        <v>162.31051238395159</v>
      </c>
      <c r="Q202" s="56">
        <f>-(Q196*'Emissions Assumptions'!O26)</f>
        <v>164.24101740911169</v>
      </c>
      <c r="R202" s="56">
        <f>-(R196*'Emissions Assumptions'!P26)</f>
        <v>166.1802986743001</v>
      </c>
      <c r="S202" s="56">
        <f>-(S196*'Emissions Assumptions'!Q26)</f>
        <v>168.12844394191717</v>
      </c>
      <c r="T202" s="56">
        <f>-(T196*'Emissions Assumptions'!R26)</f>
        <v>170.08554185198702</v>
      </c>
      <c r="U202" s="56">
        <f>-(U196*'Emissions Assumptions'!S26)</f>
        <v>172.05168193093434</v>
      </c>
      <c r="V202" s="56">
        <f>-(V196*'Emissions Assumptions'!T26)</f>
        <v>174.02695460044788</v>
      </c>
      <c r="W202" s="56">
        <f>-(W196*'Emissions Assumptions'!U26)</f>
        <v>176.01145118643319</v>
      </c>
      <c r="X202" s="56">
        <f>-(X196*'Emissions Assumptions'!V26)</f>
        <v>178.16078172602533</v>
      </c>
      <c r="Y202" s="56">
        <f>-(Y196*'Emissions Assumptions'!W26)</f>
        <v>182.3921597619231</v>
      </c>
      <c r="Z202" s="56">
        <f>-(Z196*'Emissions Assumptions'!X26)</f>
        <v>184.58532536547699</v>
      </c>
      <c r="AA202" s="56">
        <f>-(AA196*'Emissions Assumptions'!Y26)</f>
        <v>186.78819974044737</v>
      </c>
      <c r="AB202" s="56">
        <f>-(AB196*'Emissions Assumptions'!Z26)</f>
        <v>189.0008799745483</v>
      </c>
      <c r="AC202" s="389">
        <f>-(AC196*'Emissions Assumptions'!AA26)</f>
        <v>191.22346412637114</v>
      </c>
      <c r="AD202" s="358"/>
    </row>
    <row r="203" spans="1:30" s="5" customFormat="1" ht="12">
      <c r="A203" s="58"/>
      <c r="B203" s="58"/>
      <c r="C203" s="62" t="s">
        <v>591</v>
      </c>
      <c r="D203" s="212"/>
      <c r="E203" s="220"/>
      <c r="F203" s="83">
        <f>SUM(F198:F202)</f>
        <v>0</v>
      </c>
      <c r="G203" s="83">
        <f t="shared" ref="G203:AC203" si="56">SUM(G198:G202)</f>
        <v>56469.037906872632</v>
      </c>
      <c r="H203" s="83">
        <f t="shared" si="56"/>
        <v>100854.55929008161</v>
      </c>
      <c r="I203" s="83">
        <f t="shared" si="56"/>
        <v>94216.506953359261</v>
      </c>
      <c r="J203" s="83">
        <f t="shared" si="56"/>
        <v>87642.085013162665</v>
      </c>
      <c r="K203" s="83">
        <f t="shared" si="56"/>
        <v>80974.227676708586</v>
      </c>
      <c r="L203" s="83">
        <f t="shared" si="56"/>
        <v>74241.610537658795</v>
      </c>
      <c r="M203" s="83">
        <f t="shared" si="56"/>
        <v>67441.001891585925</v>
      </c>
      <c r="N203" s="83">
        <f t="shared" si="56"/>
        <v>61275.530328857989</v>
      </c>
      <c r="O203" s="83">
        <f t="shared" si="56"/>
        <v>54902.872481416751</v>
      </c>
      <c r="P203" s="83">
        <f t="shared" si="56"/>
        <v>54318.966681315884</v>
      </c>
      <c r="Q203" s="83">
        <f t="shared" si="56"/>
        <v>53683.44850089278</v>
      </c>
      <c r="R203" s="83">
        <f t="shared" si="56"/>
        <v>53038.620990948832</v>
      </c>
      <c r="S203" s="83">
        <f t="shared" si="56"/>
        <v>52341.627489067898</v>
      </c>
      <c r="T203" s="83">
        <f t="shared" si="56"/>
        <v>51634.642019049454</v>
      </c>
      <c r="U203" s="83">
        <f t="shared" si="56"/>
        <v>50874.944181756793</v>
      </c>
      <c r="V203" s="83">
        <f t="shared" si="56"/>
        <v>50104.534960635683</v>
      </c>
      <c r="W203" s="83">
        <f t="shared" si="56"/>
        <v>49280.874094502797</v>
      </c>
      <c r="X203" s="83">
        <f t="shared" si="56"/>
        <v>48466.581546806054</v>
      </c>
      <c r="Y203" s="83">
        <f t="shared" si="56"/>
        <v>47639.872006975194</v>
      </c>
      <c r="Z203" s="83">
        <f t="shared" si="56"/>
        <v>48337.876742420849</v>
      </c>
      <c r="AA203" s="83">
        <f t="shared" si="56"/>
        <v>49062.920355750117</v>
      </c>
      <c r="AB203" s="83">
        <f t="shared" si="56"/>
        <v>49772.434556226326</v>
      </c>
      <c r="AC203" s="272">
        <f t="shared" si="56"/>
        <v>50509.590184720175</v>
      </c>
      <c r="AD203" s="355">
        <f t="shared" si="49"/>
        <v>1387084.3663907731</v>
      </c>
    </row>
    <row r="204" spans="1:30" s="53" customFormat="1" ht="12">
      <c r="A204" s="45"/>
      <c r="B204" s="45"/>
      <c r="D204" s="209"/>
      <c r="E204" s="217"/>
      <c r="F204" s="45"/>
      <c r="G204" s="57"/>
      <c r="AC204" s="263"/>
      <c r="AD204" s="338"/>
    </row>
    <row r="205" spans="1:30" s="53" customFormat="1" ht="12">
      <c r="A205" s="45"/>
      <c r="B205" s="45"/>
      <c r="C205" s="64" t="s">
        <v>91</v>
      </c>
      <c r="D205" s="209"/>
      <c r="E205" s="217"/>
      <c r="F205" s="45"/>
      <c r="G205" s="57"/>
      <c r="AC205" s="263"/>
      <c r="AD205" s="338"/>
    </row>
    <row r="206" spans="1:30" s="53" customFormat="1" ht="24">
      <c r="A206" s="45"/>
      <c r="B206" s="45"/>
      <c r="C206" s="203" t="s">
        <v>132</v>
      </c>
      <c r="D206" s="259">
        <f>'Price Assumptions'!$B$22</f>
        <v>0.2</v>
      </c>
      <c r="E206" s="217"/>
      <c r="G206" s="96"/>
      <c r="H206" s="96"/>
      <c r="I206" s="96"/>
      <c r="J206" s="96"/>
      <c r="K206" s="96"/>
      <c r="L206" s="96"/>
      <c r="M206" s="96"/>
      <c r="N206" s="96"/>
      <c r="O206" s="96"/>
      <c r="P206" s="96"/>
      <c r="Q206" s="96"/>
      <c r="R206" s="96"/>
      <c r="S206" s="96"/>
      <c r="T206" s="96"/>
      <c r="U206" s="96"/>
      <c r="V206" s="96"/>
      <c r="W206" s="96"/>
      <c r="X206" s="96"/>
      <c r="Y206" s="96"/>
      <c r="AC206" s="263"/>
      <c r="AD206" s="338"/>
    </row>
    <row r="207" spans="1:30" s="53" customFormat="1" ht="24">
      <c r="A207" s="45"/>
      <c r="B207" s="45"/>
      <c r="C207" s="283" t="s">
        <v>503</v>
      </c>
      <c r="D207" s="284">
        <f>'Price Assumptions'!$B$21</f>
        <v>5.4413625171743009E-2</v>
      </c>
      <c r="E207" s="217"/>
      <c r="G207" s="95"/>
      <c r="H207" s="95"/>
      <c r="I207" s="95"/>
      <c r="J207" s="95"/>
      <c r="K207" s="95"/>
      <c r="L207" s="95"/>
      <c r="M207" s="95"/>
      <c r="N207" s="95"/>
      <c r="O207" s="95"/>
      <c r="P207" s="95"/>
      <c r="Q207" s="95"/>
      <c r="R207" s="95"/>
      <c r="S207" s="95"/>
      <c r="T207" s="95"/>
      <c r="U207" s="95"/>
      <c r="V207" s="95"/>
      <c r="W207" s="95"/>
      <c r="X207" s="95"/>
      <c r="Y207" s="95"/>
      <c r="AC207" s="263"/>
      <c r="AD207" s="338"/>
    </row>
    <row r="208" spans="1:30" s="5" customFormat="1" ht="12">
      <c r="A208" s="58"/>
      <c r="B208" s="58"/>
      <c r="C208" s="87" t="s">
        <v>504</v>
      </c>
      <c r="D208" s="212"/>
      <c r="E208" s="220"/>
      <c r="F208" s="83">
        <f>$D$207*$D$206*(F16+F17+F20+F21+F24+F25+F26)</f>
        <v>0</v>
      </c>
      <c r="G208" s="83">
        <f t="shared" ref="G208:AC208" si="57">$D$207*$D$206*(G16+G17+G20+G21+G24+G25+G26)</f>
        <v>1489.5729890764651</v>
      </c>
      <c r="H208" s="83">
        <f t="shared" si="57"/>
        <v>1541.651549981445</v>
      </c>
      <c r="I208" s="83">
        <f t="shared" si="57"/>
        <v>1556.4356308764279</v>
      </c>
      <c r="J208" s="83">
        <f t="shared" si="57"/>
        <v>1571.3701586433078</v>
      </c>
      <c r="K208" s="83">
        <f t="shared" si="57"/>
        <v>1586.4566377508031</v>
      </c>
      <c r="L208" s="83">
        <f t="shared" si="57"/>
        <v>1601.6965877123205</v>
      </c>
      <c r="M208" s="83">
        <f t="shared" si="57"/>
        <v>1617.0915432364002</v>
      </c>
      <c r="N208" s="83">
        <f t="shared" si="57"/>
        <v>1633.432830599015</v>
      </c>
      <c r="O208" s="83">
        <f t="shared" si="57"/>
        <v>1649.9322391359992</v>
      </c>
      <c r="P208" s="83">
        <f t="shared" si="57"/>
        <v>1666.5913500590968</v>
      </c>
      <c r="Q208" s="83">
        <f t="shared" si="57"/>
        <v>1683.4117603921688</v>
      </c>
      <c r="R208" s="83">
        <f t="shared" si="57"/>
        <v>1700.395083129315</v>
      </c>
      <c r="S208" s="83">
        <f t="shared" si="57"/>
        <v>1717.5429473945765</v>
      </c>
      <c r="T208" s="83">
        <f t="shared" si="57"/>
        <v>1734.8569986032335</v>
      </c>
      <c r="U208" s="83">
        <f t="shared" si="57"/>
        <v>1752.3388986247205</v>
      </c>
      <c r="V208" s="83">
        <f t="shared" si="57"/>
        <v>1769.9903259471662</v>
      </c>
      <c r="W208" s="83">
        <f t="shared" si="57"/>
        <v>1787.8129758435796</v>
      </c>
      <c r="X208" s="83">
        <f t="shared" si="57"/>
        <v>1805.8867225920549</v>
      </c>
      <c r="Y208" s="83">
        <f t="shared" si="57"/>
        <v>1824.1351334882347</v>
      </c>
      <c r="Z208" s="83">
        <f t="shared" si="57"/>
        <v>1842.5599551735966</v>
      </c>
      <c r="AA208" s="83">
        <f t="shared" si="57"/>
        <v>1861.1629517560318</v>
      </c>
      <c r="AB208" s="83">
        <f t="shared" si="57"/>
        <v>1879.9459049845118</v>
      </c>
      <c r="AC208" s="272">
        <f t="shared" si="57"/>
        <v>1898.9106144254956</v>
      </c>
      <c r="AD208" s="355">
        <f t="shared" si="49"/>
        <v>39173.181789425966</v>
      </c>
    </row>
    <row r="209" spans="1:30" s="110" customFormat="1" ht="12">
      <c r="A209" s="107"/>
      <c r="B209" s="107"/>
      <c r="C209" s="108"/>
      <c r="D209" s="208"/>
      <c r="E209" s="216"/>
      <c r="F209" s="109"/>
      <c r="G209" s="109"/>
      <c r="H209" s="109"/>
      <c r="I209" s="109"/>
      <c r="J209" s="109"/>
      <c r="K209" s="109"/>
      <c r="L209" s="109"/>
      <c r="M209" s="109"/>
      <c r="N209" s="109"/>
      <c r="O209" s="109"/>
      <c r="P209" s="109"/>
      <c r="Q209" s="109"/>
      <c r="R209" s="109"/>
      <c r="S209" s="109"/>
      <c r="T209" s="109"/>
      <c r="U209" s="109"/>
      <c r="V209" s="109"/>
      <c r="W209" s="109"/>
      <c r="X209" s="109"/>
      <c r="Y209" s="109"/>
      <c r="Z209" s="109"/>
      <c r="AC209" s="262"/>
      <c r="AD209" s="337"/>
    </row>
    <row r="210" spans="1:30" s="110" customFormat="1" ht="12">
      <c r="A210" s="58" t="s">
        <v>345</v>
      </c>
      <c r="B210" s="58"/>
      <c r="C210" s="108"/>
      <c r="D210" s="208"/>
      <c r="E210" s="216"/>
      <c r="F210" s="109"/>
      <c r="G210" s="109"/>
      <c r="H210" s="109"/>
      <c r="I210" s="109"/>
      <c r="J210" s="109"/>
      <c r="K210" s="109"/>
      <c r="L210" s="109"/>
      <c r="M210" s="109"/>
      <c r="N210" s="109"/>
      <c r="O210" s="109"/>
      <c r="P210" s="109"/>
      <c r="Q210" s="109"/>
      <c r="R210" s="109"/>
      <c r="S210" s="109"/>
      <c r="T210" s="109"/>
      <c r="U210" s="109"/>
      <c r="V210" s="109"/>
      <c r="W210" s="109"/>
      <c r="X210" s="109"/>
      <c r="Y210" s="109"/>
      <c r="Z210" s="109"/>
      <c r="AC210" s="262"/>
      <c r="AD210" s="337"/>
    </row>
    <row r="211" spans="1:30" s="110" customFormat="1" ht="12">
      <c r="A211" s="58"/>
      <c r="B211" s="58"/>
      <c r="C211" s="46" t="s">
        <v>39</v>
      </c>
      <c r="D211" s="210"/>
      <c r="E211" s="217"/>
      <c r="F211" s="45"/>
      <c r="G211" s="109"/>
      <c r="H211" s="109"/>
      <c r="I211" s="109"/>
      <c r="J211" s="109"/>
      <c r="K211" s="109"/>
      <c r="L211" s="109"/>
      <c r="M211" s="109"/>
      <c r="N211" s="109"/>
      <c r="O211" s="109"/>
      <c r="P211" s="109"/>
      <c r="Q211" s="109"/>
      <c r="R211" s="109"/>
      <c r="S211" s="109"/>
      <c r="T211" s="109"/>
      <c r="U211" s="109"/>
      <c r="V211" s="109"/>
      <c r="W211" s="109"/>
      <c r="X211" s="109"/>
      <c r="Y211" s="109"/>
      <c r="Z211" s="109"/>
      <c r="AC211" s="262"/>
      <c r="AD211" s="337"/>
    </row>
    <row r="212" spans="1:30" s="110" customFormat="1" ht="12">
      <c r="A212" s="58"/>
      <c r="B212" s="58" t="s">
        <v>225</v>
      </c>
      <c r="D212" s="210"/>
      <c r="E212" s="217"/>
      <c r="F212" s="45"/>
      <c r="G212" s="109"/>
      <c r="H212" s="109"/>
      <c r="I212" s="109"/>
      <c r="J212" s="109"/>
      <c r="K212" s="109"/>
      <c r="L212" s="109"/>
      <c r="M212" s="109"/>
      <c r="N212" s="109"/>
      <c r="O212" s="109"/>
      <c r="P212" s="109"/>
      <c r="Q212" s="109"/>
      <c r="R212" s="109"/>
      <c r="S212" s="109"/>
      <c r="T212" s="109"/>
      <c r="U212" s="109"/>
      <c r="V212" s="109"/>
      <c r="W212" s="109"/>
      <c r="X212" s="109"/>
      <c r="Y212" s="109"/>
      <c r="Z212" s="109"/>
      <c r="AC212" s="262"/>
      <c r="AD212" s="337"/>
    </row>
    <row r="213" spans="1:30" s="110" customFormat="1" ht="12">
      <c r="A213" s="58"/>
      <c r="B213" s="444" t="s">
        <v>587</v>
      </c>
      <c r="C213" s="78" t="s">
        <v>561</v>
      </c>
      <c r="D213" s="210"/>
      <c r="E213" s="217"/>
      <c r="F213" s="45"/>
      <c r="G213" s="109"/>
      <c r="H213" s="109"/>
      <c r="I213" s="55"/>
      <c r="J213" s="55"/>
      <c r="K213" s="55"/>
      <c r="L213" s="55"/>
      <c r="M213" s="55"/>
      <c r="N213" s="55"/>
      <c r="O213" s="55"/>
      <c r="P213" s="55"/>
      <c r="Q213" s="55"/>
      <c r="R213" s="55"/>
      <c r="S213" s="55"/>
      <c r="T213" s="55"/>
      <c r="U213" s="55"/>
      <c r="V213" s="55"/>
      <c r="W213" s="55"/>
      <c r="X213" s="55"/>
      <c r="Y213" s="55"/>
      <c r="Z213" s="55"/>
      <c r="AA213" s="55"/>
      <c r="AB213" s="55"/>
      <c r="AC213" s="270"/>
      <c r="AD213" s="353"/>
    </row>
    <row r="214" spans="1:30" s="110" customFormat="1" ht="12">
      <c r="A214" s="58"/>
      <c r="C214" s="78" t="s">
        <v>542</v>
      </c>
      <c r="D214" s="210">
        <f>'Mode Operating Assumptions'!D189</f>
        <v>8.2555465307736857E-8</v>
      </c>
      <c r="E214" s="217"/>
      <c r="F214" s="55">
        <f>$D$214*(F$11+F$12-F$23)</f>
        <v>0</v>
      </c>
      <c r="G214" s="55">
        <f t="shared" ref="G214:AC214" si="58">$D$214*(G$11+G$12-G$23)</f>
        <v>-1.5066372418661975E-3</v>
      </c>
      <c r="H214" s="55">
        <f t="shared" si="58"/>
        <v>4.5174952028652661E-3</v>
      </c>
      <c r="I214" s="55">
        <f t="shared" si="58"/>
        <v>4.4599507488335688E-3</v>
      </c>
      <c r="J214" s="55">
        <f t="shared" si="58"/>
        <v>4.402254124440441E-3</v>
      </c>
      <c r="K214" s="55">
        <f t="shared" si="58"/>
        <v>4.3444038079822707E-3</v>
      </c>
      <c r="L214" s="55">
        <f t="shared" si="58"/>
        <v>4.2863982625384062E-3</v>
      </c>
      <c r="M214" s="55">
        <f t="shared" si="58"/>
        <v>4.2282359358189929E-3</v>
      </c>
      <c r="N214" s="55">
        <f t="shared" si="58"/>
        <v>4.2981899364046457E-3</v>
      </c>
      <c r="O214" s="55">
        <f t="shared" si="58"/>
        <v>4.3679840044111096E-3</v>
      </c>
      <c r="P214" s="55">
        <f t="shared" si="58"/>
        <v>4.4376165405125923E-3</v>
      </c>
      <c r="Q214" s="55">
        <f t="shared" si="58"/>
        <v>4.5070859293900459E-3</v>
      </c>
      <c r="R214" s="55">
        <f t="shared" si="58"/>
        <v>4.5763905395712267E-3</v>
      </c>
      <c r="S214" s="55">
        <f t="shared" si="58"/>
        <v>4.6455287232691749E-3</v>
      </c>
      <c r="T214" s="55">
        <f t="shared" si="58"/>
        <v>4.7144988162190595E-3</v>
      </c>
      <c r="U214" s="55">
        <f t="shared" si="58"/>
        <v>4.7832991375133952E-3</v>
      </c>
      <c r="V214" s="55">
        <f t="shared" si="58"/>
        <v>4.8519279894356313E-3</v>
      </c>
      <c r="W214" s="55">
        <f t="shared" si="58"/>
        <v>4.9203836572920424E-3</v>
      </c>
      <c r="X214" s="55">
        <f t="shared" si="58"/>
        <v>5.0013594128565635E-3</v>
      </c>
      <c r="Y214" s="55">
        <f t="shared" si="58"/>
        <v>5.0821585033555394E-3</v>
      </c>
      <c r="Z214" s="55">
        <f t="shared" si="58"/>
        <v>5.1627791621383133E-3</v>
      </c>
      <c r="AA214" s="55">
        <f t="shared" si="58"/>
        <v>5.2432196048877253E-3</v>
      </c>
      <c r="AB214" s="55">
        <f t="shared" si="58"/>
        <v>5.3234780294434386E-3</v>
      </c>
      <c r="AC214" s="270">
        <f t="shared" si="58"/>
        <v>5.4035526156235199E-3</v>
      </c>
      <c r="AD214" s="353">
        <f t="shared" si="49"/>
        <v>0.10205155344293677</v>
      </c>
    </row>
    <row r="215" spans="1:30" s="110" customFormat="1" ht="12">
      <c r="A215" s="58"/>
      <c r="C215" s="49" t="s">
        <v>40</v>
      </c>
      <c r="D215" s="308">
        <f>-'Mode Operating Assumptions'!C179</f>
        <v>-6200000</v>
      </c>
      <c r="E215" s="217"/>
      <c r="F215" s="255">
        <f>F214*$D$215</f>
        <v>0</v>
      </c>
      <c r="G215" s="255">
        <f t="shared" ref="G215:AC215" si="59">G214*$D$215</f>
        <v>9341.1508995704244</v>
      </c>
      <c r="H215" s="255">
        <f t="shared" si="59"/>
        <v>-28008.470257764649</v>
      </c>
      <c r="I215" s="255">
        <f t="shared" si="59"/>
        <v>-27651.694642768125</v>
      </c>
      <c r="J215" s="255">
        <f t="shared" si="59"/>
        <v>-27293.975571530733</v>
      </c>
      <c r="K215" s="255">
        <f t="shared" si="59"/>
        <v>-26935.303609490078</v>
      </c>
      <c r="L215" s="255">
        <f t="shared" si="59"/>
        <v>-26575.669227738119</v>
      </c>
      <c r="M215" s="255">
        <f t="shared" si="59"/>
        <v>-26215.062802077755</v>
      </c>
      <c r="N215" s="255">
        <f t="shared" si="59"/>
        <v>-26648.777605708805</v>
      </c>
      <c r="O215" s="255">
        <f t="shared" si="59"/>
        <v>-27081.500827348878</v>
      </c>
      <c r="P215" s="255">
        <f t="shared" si="59"/>
        <v>-27513.222551178071</v>
      </c>
      <c r="Q215" s="255">
        <f t="shared" si="59"/>
        <v>-27943.932762218286</v>
      </c>
      <c r="R215" s="255">
        <f t="shared" si="59"/>
        <v>-28373.621345341606</v>
      </c>
      <c r="S215" s="255">
        <f t="shared" si="59"/>
        <v>-28802.278084268884</v>
      </c>
      <c r="T215" s="255">
        <f t="shared" si="59"/>
        <v>-29229.892660558169</v>
      </c>
      <c r="U215" s="255">
        <f t="shared" si="59"/>
        <v>-29656.454652583048</v>
      </c>
      <c r="V215" s="255">
        <f t="shared" si="59"/>
        <v>-30081.953534500914</v>
      </c>
      <c r="W215" s="255">
        <f t="shared" si="59"/>
        <v>-30506.378675210664</v>
      </c>
      <c r="X215" s="255">
        <f t="shared" si="59"/>
        <v>-31008.428359710695</v>
      </c>
      <c r="Y215" s="255">
        <f t="shared" si="59"/>
        <v>-31509.382720804344</v>
      </c>
      <c r="Z215" s="255">
        <f t="shared" si="59"/>
        <v>-32009.230805257543</v>
      </c>
      <c r="AA215" s="255">
        <f t="shared" si="59"/>
        <v>-32507.961550303899</v>
      </c>
      <c r="AB215" s="255">
        <f t="shared" si="59"/>
        <v>-33005.563782549318</v>
      </c>
      <c r="AC215" s="268">
        <f t="shared" si="59"/>
        <v>-33502.026216865823</v>
      </c>
      <c r="AD215" s="360">
        <f t="shared" si="49"/>
        <v>-632719.63134620804</v>
      </c>
    </row>
    <row r="216" spans="1:30" s="110" customFormat="1" ht="12">
      <c r="A216" s="58"/>
      <c r="C216" s="78" t="s">
        <v>543</v>
      </c>
      <c r="D216" s="210">
        <f>'Mode Operating Assumptions'!D190</f>
        <v>2.5164317528336415E-6</v>
      </c>
      <c r="E216" s="217"/>
      <c r="F216" s="55">
        <f t="shared" ref="F216:AC216" si="60">$D$216*(F$11+F$12-F$23)</f>
        <v>0</v>
      </c>
      <c r="G216" s="55">
        <f t="shared" si="60"/>
        <v>-4.5924879489213956E-2</v>
      </c>
      <c r="H216" s="55">
        <f t="shared" si="60"/>
        <v>0.13770097872246426</v>
      </c>
      <c r="I216" s="55">
        <f t="shared" si="60"/>
        <v>0.13594692536227723</v>
      </c>
      <c r="J216" s="55">
        <f t="shared" si="60"/>
        <v>0.13418823358926174</v>
      </c>
      <c r="K216" s="55">
        <f t="shared" si="60"/>
        <v>0.13242485701928955</v>
      </c>
      <c r="L216" s="55">
        <f t="shared" si="60"/>
        <v>0.13065674880439107</v>
      </c>
      <c r="M216" s="55">
        <f t="shared" si="60"/>
        <v>0.12888386162811713</v>
      </c>
      <c r="N216" s="55">
        <f t="shared" si="60"/>
        <v>0.13101617918765465</v>
      </c>
      <c r="O216" s="55">
        <f t="shared" si="60"/>
        <v>0.13314362172869304</v>
      </c>
      <c r="P216" s="55">
        <f t="shared" si="60"/>
        <v>0.13526614050104724</v>
      </c>
      <c r="Q216" s="55">
        <f t="shared" si="60"/>
        <v>0.13738368626703043</v>
      </c>
      <c r="R216" s="55">
        <f t="shared" si="60"/>
        <v>0.13949620929657888</v>
      </c>
      <c r="S216" s="55">
        <f t="shared" si="60"/>
        <v>0.14160365936232827</v>
      </c>
      <c r="T216" s="55">
        <f t="shared" si="60"/>
        <v>0.14370598573464066</v>
      </c>
      <c r="U216" s="55">
        <f t="shared" si="60"/>
        <v>0.14580313717658158</v>
      </c>
      <c r="V216" s="55">
        <f t="shared" si="60"/>
        <v>0.14789506193884744</v>
      </c>
      <c r="W216" s="55">
        <f t="shared" si="60"/>
        <v>0.14998170775464129</v>
      </c>
      <c r="X216" s="55">
        <f t="shared" si="60"/>
        <v>0.15244998725319026</v>
      </c>
      <c r="Y216" s="55">
        <f t="shared" si="60"/>
        <v>0.15491288169844325</v>
      </c>
      <c r="Z216" s="55">
        <f t="shared" si="60"/>
        <v>0.15737033723986732</v>
      </c>
      <c r="AA216" s="55">
        <f t="shared" si="60"/>
        <v>0.15982229948842416</v>
      </c>
      <c r="AB216" s="55">
        <f t="shared" si="60"/>
        <v>0.1622687135111851</v>
      </c>
      <c r="AC216" s="270">
        <f t="shared" si="60"/>
        <v>0.16470952382589221</v>
      </c>
      <c r="AD216" s="353">
        <f t="shared" si="49"/>
        <v>3.1107058576016327</v>
      </c>
    </row>
    <row r="217" spans="1:30" s="110" customFormat="1" ht="12">
      <c r="A217" s="58"/>
      <c r="C217" s="49" t="s">
        <v>41</v>
      </c>
      <c r="D217" s="308">
        <f>-'Mode Operating Assumptions'!C175</f>
        <v>-291400</v>
      </c>
      <c r="E217" s="217"/>
      <c r="F217" s="255">
        <f>F216*$D$217</f>
        <v>0</v>
      </c>
      <c r="G217" s="255">
        <f t="shared" ref="G217:AC217" si="61">G216*$D$217</f>
        <v>13382.509883156947</v>
      </c>
      <c r="H217" s="255">
        <f t="shared" si="61"/>
        <v>-40126.065199726087</v>
      </c>
      <c r="I217" s="255">
        <f t="shared" si="61"/>
        <v>-39614.934050567586</v>
      </c>
      <c r="J217" s="255">
        <f t="shared" si="61"/>
        <v>-39102.451267910874</v>
      </c>
      <c r="K217" s="255">
        <f t="shared" si="61"/>
        <v>-38588.603335420972</v>
      </c>
      <c r="L217" s="255">
        <f t="shared" si="61"/>
        <v>-38073.376601599557</v>
      </c>
      <c r="M217" s="255">
        <f t="shared" si="61"/>
        <v>-37556.757278433332</v>
      </c>
      <c r="N217" s="255">
        <f t="shared" si="61"/>
        <v>-38178.114615282568</v>
      </c>
      <c r="O217" s="255">
        <f t="shared" si="61"/>
        <v>-38798.051371741152</v>
      </c>
      <c r="P217" s="255">
        <f t="shared" si="61"/>
        <v>-39416.553342005165</v>
      </c>
      <c r="Q217" s="255">
        <f t="shared" si="61"/>
        <v>-40033.606178212671</v>
      </c>
      <c r="R217" s="255">
        <f t="shared" si="61"/>
        <v>-40649.195389023087</v>
      </c>
      <c r="S217" s="255">
        <f t="shared" si="61"/>
        <v>-41263.306338182461</v>
      </c>
      <c r="T217" s="255">
        <f t="shared" si="61"/>
        <v>-41875.924243074289</v>
      </c>
      <c r="U217" s="255">
        <f t="shared" si="61"/>
        <v>-42487.034173255874</v>
      </c>
      <c r="V217" s="255">
        <f t="shared" si="61"/>
        <v>-43096.621048980145</v>
      </c>
      <c r="W217" s="255">
        <f t="shared" si="61"/>
        <v>-43704.669639702472</v>
      </c>
      <c r="X217" s="255">
        <f t="shared" si="61"/>
        <v>-44423.926285579641</v>
      </c>
      <c r="Y217" s="255">
        <f t="shared" si="61"/>
        <v>-45141.613726926364</v>
      </c>
      <c r="Z217" s="255">
        <f t="shared" si="61"/>
        <v>-45857.71627169734</v>
      </c>
      <c r="AA217" s="255">
        <f t="shared" si="61"/>
        <v>-46572.2180709268</v>
      </c>
      <c r="AB217" s="255">
        <f t="shared" si="61"/>
        <v>-47285.103117159342</v>
      </c>
      <c r="AC217" s="268">
        <f t="shared" si="61"/>
        <v>-47996.355242864993</v>
      </c>
      <c r="AD217" s="360">
        <f t="shared" si="49"/>
        <v>-906459.68690511596</v>
      </c>
    </row>
    <row r="218" spans="1:30" s="110" customFormat="1" ht="12">
      <c r="A218" s="58"/>
      <c r="D218" s="210"/>
      <c r="E218" s="217"/>
      <c r="AC218" s="262"/>
      <c r="AD218" s="337"/>
    </row>
    <row r="219" spans="1:30" s="110" customFormat="1" ht="12">
      <c r="A219" s="58"/>
      <c r="B219" s="445" t="s">
        <v>588</v>
      </c>
      <c r="C219" s="78" t="s">
        <v>586</v>
      </c>
      <c r="D219" s="443">
        <v>-0.2</v>
      </c>
      <c r="E219" s="217"/>
      <c r="F219" s="45"/>
      <c r="G219" s="45"/>
      <c r="H219" s="45"/>
      <c r="I219" s="45"/>
      <c r="J219" s="45"/>
      <c r="K219" s="45"/>
      <c r="L219" s="45"/>
      <c r="M219" s="45"/>
      <c r="N219" s="45"/>
      <c r="O219" s="45"/>
      <c r="P219" s="45"/>
      <c r="Q219" s="45"/>
      <c r="R219" s="45"/>
      <c r="S219" s="45"/>
      <c r="T219" s="45"/>
      <c r="U219" s="45"/>
      <c r="V219" s="45"/>
      <c r="W219" s="45"/>
      <c r="X219" s="45"/>
      <c r="Y219" s="45"/>
      <c r="Z219" s="45"/>
      <c r="AA219" s="45"/>
      <c r="AB219" s="45"/>
      <c r="AC219" s="263"/>
      <c r="AD219" s="337"/>
    </row>
    <row r="220" spans="1:30" s="110" customFormat="1" ht="12">
      <c r="A220" s="58"/>
      <c r="B220" s="58"/>
      <c r="C220" s="78" t="s">
        <v>542</v>
      </c>
      <c r="D220" s="210">
        <f>D214*D$219</f>
        <v>-1.6511093061547371E-8</v>
      </c>
      <c r="E220" s="217"/>
      <c r="F220" s="55">
        <f>$D220*(F$10+F$11+F$12-$F23)</f>
        <v>0</v>
      </c>
      <c r="G220" s="55">
        <f t="shared" ref="G220:AC220" si="62">$D220*(G$10+G$11+G$12-$F23)</f>
        <v>0</v>
      </c>
      <c r="H220" s="55">
        <f t="shared" si="62"/>
        <v>-6.1599827934931288E-2</v>
      </c>
      <c r="I220" s="55">
        <f t="shared" si="62"/>
        <v>-6.1168088272465011E-2</v>
      </c>
      <c r="J220" s="55">
        <f t="shared" si="62"/>
        <v>-6.0736348609998748E-2</v>
      </c>
      <c r="K220" s="55">
        <f t="shared" si="62"/>
        <v>-6.0304608947532465E-2</v>
      </c>
      <c r="L220" s="55">
        <f t="shared" si="62"/>
        <v>-5.9872869285066195E-2</v>
      </c>
      <c r="M220" s="55">
        <f t="shared" si="62"/>
        <v>-5.9441129622599925E-2</v>
      </c>
      <c r="N220" s="55">
        <f t="shared" si="62"/>
        <v>-6.0317791659346039E-2</v>
      </c>
      <c r="O220" s="55">
        <f t="shared" si="62"/>
        <v>-6.1194453696092152E-2</v>
      </c>
      <c r="P220" s="55">
        <f t="shared" si="62"/>
        <v>-6.2071115732838265E-2</v>
      </c>
      <c r="Q220" s="55">
        <f t="shared" si="62"/>
        <v>-6.2947777769584379E-2</v>
      </c>
      <c r="R220" s="55">
        <f t="shared" si="62"/>
        <v>-6.3824439806330485E-2</v>
      </c>
      <c r="S220" s="55">
        <f t="shared" si="62"/>
        <v>-6.4701101843076606E-2</v>
      </c>
      <c r="T220" s="55">
        <f t="shared" si="62"/>
        <v>-6.5577763879822726E-2</v>
      </c>
      <c r="U220" s="55">
        <f t="shared" si="62"/>
        <v>-6.6454425916568832E-2</v>
      </c>
      <c r="V220" s="55">
        <f t="shared" si="62"/>
        <v>-6.733108795331498E-2</v>
      </c>
      <c r="W220" s="55">
        <f t="shared" si="62"/>
        <v>-6.8207749990061087E-2</v>
      </c>
      <c r="X220" s="55">
        <f t="shared" si="62"/>
        <v>-6.9213901063676017E-2</v>
      </c>
      <c r="Y220" s="55">
        <f t="shared" si="62"/>
        <v>-7.0220052137290975E-2</v>
      </c>
      <c r="Z220" s="55">
        <f t="shared" si="62"/>
        <v>-7.1226203210905906E-2</v>
      </c>
      <c r="AA220" s="55">
        <f t="shared" si="62"/>
        <v>-7.223235428452085E-2</v>
      </c>
      <c r="AB220" s="55">
        <f t="shared" si="62"/>
        <v>-7.3238505358135794E-2</v>
      </c>
      <c r="AC220" s="270">
        <f t="shared" si="62"/>
        <v>-7.4244656431750766E-2</v>
      </c>
      <c r="AD220" s="338">
        <f>SUM(F220:AC220)</f>
        <v>-1.4361262534059094</v>
      </c>
    </row>
    <row r="221" spans="1:30" s="110" customFormat="1" ht="12">
      <c r="A221" s="58"/>
      <c r="B221" s="58"/>
      <c r="C221" s="49" t="s">
        <v>40</v>
      </c>
      <c r="D221" s="308">
        <f>D215</f>
        <v>-6200000</v>
      </c>
      <c r="E221" s="217"/>
      <c r="F221" s="315">
        <f>F220*$D221</f>
        <v>0</v>
      </c>
      <c r="G221" s="315">
        <f t="shared" ref="G221:AC221" si="63">G220*$D221</f>
        <v>0</v>
      </c>
      <c r="H221" s="315">
        <f t="shared" si="63"/>
        <v>381918.93319657398</v>
      </c>
      <c r="I221" s="315">
        <f t="shared" si="63"/>
        <v>379242.14728928305</v>
      </c>
      <c r="J221" s="315">
        <f t="shared" si="63"/>
        <v>376565.36138199223</v>
      </c>
      <c r="K221" s="315">
        <f t="shared" si="63"/>
        <v>373888.5754747013</v>
      </c>
      <c r="L221" s="315">
        <f t="shared" si="63"/>
        <v>371211.78956741042</v>
      </c>
      <c r="M221" s="315">
        <f t="shared" si="63"/>
        <v>368535.00366011955</v>
      </c>
      <c r="N221" s="315">
        <f t="shared" si="63"/>
        <v>373970.30828794546</v>
      </c>
      <c r="O221" s="315">
        <f t="shared" si="63"/>
        <v>379405.61291577131</v>
      </c>
      <c r="P221" s="315">
        <f t="shared" si="63"/>
        <v>384840.91754359723</v>
      </c>
      <c r="Q221" s="315">
        <f t="shared" si="63"/>
        <v>390276.22217142314</v>
      </c>
      <c r="R221" s="315">
        <f t="shared" si="63"/>
        <v>395711.526799249</v>
      </c>
      <c r="S221" s="315">
        <f t="shared" si="63"/>
        <v>401146.83142707497</v>
      </c>
      <c r="T221" s="315">
        <f t="shared" si="63"/>
        <v>406582.13605490088</v>
      </c>
      <c r="U221" s="315">
        <f t="shared" si="63"/>
        <v>412017.44068272674</v>
      </c>
      <c r="V221" s="315">
        <f t="shared" si="63"/>
        <v>417452.74531055288</v>
      </c>
      <c r="W221" s="315">
        <f t="shared" si="63"/>
        <v>422888.04993837874</v>
      </c>
      <c r="X221" s="315">
        <f t="shared" si="63"/>
        <v>429126.1865947913</v>
      </c>
      <c r="Y221" s="315">
        <f t="shared" si="63"/>
        <v>435364.32325120404</v>
      </c>
      <c r="Z221" s="315">
        <f t="shared" si="63"/>
        <v>441602.45990761661</v>
      </c>
      <c r="AA221" s="315">
        <f t="shared" si="63"/>
        <v>447840.59656402929</v>
      </c>
      <c r="AB221" s="315">
        <f t="shared" si="63"/>
        <v>454078.73322044191</v>
      </c>
      <c r="AC221" s="390">
        <f t="shared" si="63"/>
        <v>460316.86987685476</v>
      </c>
      <c r="AD221" s="359">
        <f>SUM(F221:AC221)</f>
        <v>8903982.7711166386</v>
      </c>
    </row>
    <row r="222" spans="1:30" s="110" customFormat="1" ht="12">
      <c r="A222" s="58"/>
      <c r="B222" s="58"/>
      <c r="C222" s="78" t="s">
        <v>543</v>
      </c>
      <c r="D222" s="210">
        <f>D216*D$219</f>
        <v>-5.032863505667283E-7</v>
      </c>
      <c r="E222" s="217"/>
      <c r="F222" s="55">
        <f>$D222*(F$10+F$11+F$12-$F23)</f>
        <v>0</v>
      </c>
      <c r="G222" s="55">
        <f t="shared" ref="G222:AC222" si="64">$D222*(G$10+G$11+G$12-$F23)</f>
        <v>0</v>
      </c>
      <c r="H222" s="55">
        <f t="shared" si="64"/>
        <v>-1.8776680914670176</v>
      </c>
      <c r="I222" s="55">
        <f t="shared" si="64"/>
        <v>-1.8645079282780885</v>
      </c>
      <c r="J222" s="55">
        <f t="shared" si="64"/>
        <v>-1.8513477650891594</v>
      </c>
      <c r="K222" s="55">
        <f t="shared" si="64"/>
        <v>-1.8381876019002299</v>
      </c>
      <c r="L222" s="55">
        <f t="shared" si="64"/>
        <v>-1.8250274387113006</v>
      </c>
      <c r="M222" s="55">
        <f t="shared" si="64"/>
        <v>-1.8118672755223713</v>
      </c>
      <c r="N222" s="55">
        <f t="shared" si="64"/>
        <v>-1.8385894334988098</v>
      </c>
      <c r="O222" s="55">
        <f t="shared" si="64"/>
        <v>-1.8653115914752483</v>
      </c>
      <c r="P222" s="55">
        <f t="shared" si="64"/>
        <v>-1.8920337494516868</v>
      </c>
      <c r="Q222" s="55">
        <f t="shared" si="64"/>
        <v>-1.9187559074281255</v>
      </c>
      <c r="R222" s="55">
        <f t="shared" si="64"/>
        <v>-1.9454780654045638</v>
      </c>
      <c r="S222" s="55">
        <f t="shared" si="64"/>
        <v>-1.9722002233810023</v>
      </c>
      <c r="T222" s="55">
        <f t="shared" si="64"/>
        <v>-1.9989223813574413</v>
      </c>
      <c r="U222" s="55">
        <f t="shared" si="64"/>
        <v>-2.0256445393338796</v>
      </c>
      <c r="V222" s="55">
        <f t="shared" si="64"/>
        <v>-2.052366697310319</v>
      </c>
      <c r="W222" s="55">
        <f t="shared" si="64"/>
        <v>-2.0790888552867575</v>
      </c>
      <c r="X222" s="55">
        <f t="shared" si="64"/>
        <v>-2.1097580605338506</v>
      </c>
      <c r="Y222" s="55">
        <f t="shared" si="64"/>
        <v>-2.1404272657809447</v>
      </c>
      <c r="Z222" s="55">
        <f t="shared" si="64"/>
        <v>-2.1710964710280378</v>
      </c>
      <c r="AA222" s="55">
        <f t="shared" si="64"/>
        <v>-2.2017656762751314</v>
      </c>
      <c r="AB222" s="55">
        <f t="shared" si="64"/>
        <v>-2.2324348815222255</v>
      </c>
      <c r="AC222" s="270">
        <f t="shared" si="64"/>
        <v>-2.2631040867693195</v>
      </c>
      <c r="AD222" s="338">
        <f>SUM(F222:AC222)</f>
        <v>-43.775583986805501</v>
      </c>
    </row>
    <row r="223" spans="1:30" s="110" customFormat="1" ht="12">
      <c r="A223" s="58"/>
      <c r="B223" s="58"/>
      <c r="C223" s="49" t="s">
        <v>41</v>
      </c>
      <c r="D223" s="308">
        <f>D217</f>
        <v>-291400</v>
      </c>
      <c r="E223" s="217"/>
      <c r="F223" s="315">
        <f>F222*$D223</f>
        <v>0</v>
      </c>
      <c r="G223" s="315">
        <f t="shared" ref="G223:AC223" si="65">G222*$D223</f>
        <v>0</v>
      </c>
      <c r="H223" s="315">
        <f t="shared" si="65"/>
        <v>547152.48185348895</v>
      </c>
      <c r="I223" s="315">
        <f t="shared" si="65"/>
        <v>543317.61030023498</v>
      </c>
      <c r="J223" s="315">
        <f t="shared" si="65"/>
        <v>539482.73874698102</v>
      </c>
      <c r="K223" s="315">
        <f t="shared" si="65"/>
        <v>535647.86719372694</v>
      </c>
      <c r="L223" s="315">
        <f t="shared" si="65"/>
        <v>531812.99564047297</v>
      </c>
      <c r="M223" s="315">
        <f t="shared" si="65"/>
        <v>527978.12408721901</v>
      </c>
      <c r="N223" s="315">
        <f t="shared" si="65"/>
        <v>535764.9609215532</v>
      </c>
      <c r="O223" s="315">
        <f t="shared" si="65"/>
        <v>543551.79775588738</v>
      </c>
      <c r="P223" s="315">
        <f t="shared" si="65"/>
        <v>551338.63459022157</v>
      </c>
      <c r="Q223" s="315">
        <f t="shared" si="65"/>
        <v>559125.47142455576</v>
      </c>
      <c r="R223" s="315">
        <f t="shared" si="65"/>
        <v>566912.30825888994</v>
      </c>
      <c r="S223" s="315">
        <f t="shared" si="65"/>
        <v>574699.14509322413</v>
      </c>
      <c r="T223" s="315">
        <f t="shared" si="65"/>
        <v>582485.98192755843</v>
      </c>
      <c r="U223" s="315">
        <f t="shared" si="65"/>
        <v>590272.8187618925</v>
      </c>
      <c r="V223" s="315">
        <f t="shared" si="65"/>
        <v>598059.65559622692</v>
      </c>
      <c r="W223" s="315">
        <f t="shared" si="65"/>
        <v>605846.49243056111</v>
      </c>
      <c r="X223" s="315">
        <f t="shared" si="65"/>
        <v>614783.49883956404</v>
      </c>
      <c r="Y223" s="315">
        <f t="shared" si="65"/>
        <v>623720.50524856732</v>
      </c>
      <c r="Z223" s="315">
        <f t="shared" si="65"/>
        <v>632657.51165757026</v>
      </c>
      <c r="AA223" s="315">
        <f t="shared" si="65"/>
        <v>641594.51806657331</v>
      </c>
      <c r="AB223" s="315">
        <f t="shared" si="65"/>
        <v>650531.52447557647</v>
      </c>
      <c r="AC223" s="390">
        <f t="shared" si="65"/>
        <v>659468.53088457976</v>
      </c>
      <c r="AD223" s="359">
        <f>SUM(F223:AC223)</f>
        <v>12756205.173755124</v>
      </c>
    </row>
    <row r="224" spans="1:30" s="110" customFormat="1" ht="12">
      <c r="A224" s="58"/>
      <c r="B224" s="58"/>
      <c r="C224" s="49"/>
      <c r="D224" s="308"/>
      <c r="E224" s="217"/>
      <c r="F224" s="315"/>
      <c r="G224" s="315"/>
      <c r="H224" s="315"/>
      <c r="I224" s="315"/>
      <c r="J224" s="315"/>
      <c r="K224" s="315"/>
      <c r="L224" s="315"/>
      <c r="M224" s="315"/>
      <c r="N224" s="315"/>
      <c r="O224" s="315"/>
      <c r="P224" s="315"/>
      <c r="Q224" s="315"/>
      <c r="R224" s="315"/>
      <c r="S224" s="315"/>
      <c r="T224" s="315"/>
      <c r="U224" s="315"/>
      <c r="V224" s="315"/>
      <c r="W224" s="315"/>
      <c r="X224" s="315"/>
      <c r="Y224" s="315"/>
      <c r="Z224" s="315"/>
      <c r="AA224" s="315"/>
      <c r="AB224" s="315"/>
      <c r="AC224" s="390"/>
      <c r="AD224" s="359"/>
    </row>
    <row r="225" spans="1:30" s="110" customFormat="1" ht="12">
      <c r="A225" s="58"/>
      <c r="B225" s="58" t="s">
        <v>222</v>
      </c>
      <c r="D225" s="210"/>
      <c r="E225" s="217"/>
      <c r="AC225" s="262"/>
      <c r="AD225" s="337"/>
    </row>
    <row r="226" spans="1:30" s="110" customFormat="1" ht="12">
      <c r="A226" s="58"/>
      <c r="B226" s="444" t="s">
        <v>587</v>
      </c>
      <c r="C226" s="78" t="s">
        <v>518</v>
      </c>
      <c r="D226" s="210"/>
      <c r="E226" s="217"/>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270"/>
      <c r="AD226" s="353"/>
    </row>
    <row r="227" spans="1:30" s="110" customFormat="1" ht="12">
      <c r="A227" s="58"/>
      <c r="C227" s="78" t="s">
        <v>542</v>
      </c>
      <c r="D227" s="210">
        <f>'Mode Operating Assumptions'!$D$195</f>
        <v>1.8722590666405648E-7</v>
      </c>
      <c r="E227" s="217"/>
      <c r="F227" s="55">
        <f>$D$227*(F$16+F$17+F$20+F$21+F$23+F$24+F$25+F$26)</f>
        <v>0</v>
      </c>
      <c r="G227" s="55">
        <f t="shared" ref="G227:AC227" si="66">$D$227*(G$16+G$17+G$20+G$21+G$23+G$24+G$25+G$26)</f>
        <v>2.9043418771261761E-2</v>
      </c>
      <c r="H227" s="55">
        <f t="shared" si="66"/>
        <v>2.9973544693075931E-2</v>
      </c>
      <c r="I227" s="55">
        <f t="shared" si="66"/>
        <v>3.0262399763821349E-2</v>
      </c>
      <c r="J227" s="55">
        <f t="shared" si="66"/>
        <v>3.0554188219862676E-2</v>
      </c>
      <c r="K227" s="55">
        <f t="shared" si="66"/>
        <v>3.0848939395052854E-2</v>
      </c>
      <c r="L227" s="55">
        <f t="shared" si="66"/>
        <v>3.1146682916583377E-2</v>
      </c>
      <c r="M227" s="55">
        <f t="shared" si="66"/>
        <v>3.1447448707917651E-2</v>
      </c>
      <c r="N227" s="55">
        <f t="shared" si="66"/>
        <v>3.1764854265938225E-2</v>
      </c>
      <c r="O227" s="55">
        <f t="shared" si="66"/>
        <v>3.2085342841385589E-2</v>
      </c>
      <c r="P227" s="55">
        <f t="shared" si="66"/>
        <v>3.2408945264434032E-2</v>
      </c>
      <c r="Q227" s="55">
        <f t="shared" si="66"/>
        <v>3.2735692673559552E-2</v>
      </c>
      <c r="R227" s="55">
        <f t="shared" si="66"/>
        <v>3.3065616518622928E-2</v>
      </c>
      <c r="S227" s="55">
        <f t="shared" si="66"/>
        <v>3.3398748563983546E-2</v>
      </c>
      <c r="T227" s="55">
        <f t="shared" si="66"/>
        <v>3.3735120891644363E-2</v>
      </c>
      <c r="U227" s="55">
        <f t="shared" si="66"/>
        <v>3.4074765904428379E-2</v>
      </c>
      <c r="V227" s="55">
        <f t="shared" si="66"/>
        <v>3.4417716329186838E-2</v>
      </c>
      <c r="W227" s="55">
        <f t="shared" si="66"/>
        <v>3.476400522003948E-2</v>
      </c>
      <c r="X227" s="55">
        <f t="shared" si="66"/>
        <v>3.5115010658042012E-2</v>
      </c>
      <c r="Y227" s="55">
        <f t="shared" si="66"/>
        <v>3.5469421665307206E-2</v>
      </c>
      <c r="Z227" s="55">
        <f t="shared" si="66"/>
        <v>3.5827272297527704E-2</v>
      </c>
      <c r="AA227" s="55">
        <f t="shared" si="66"/>
        <v>3.618859695095307E-2</v>
      </c>
      <c r="AB227" s="55">
        <f t="shared" si="66"/>
        <v>3.6553430365795336E-2</v>
      </c>
      <c r="AC227" s="270">
        <f t="shared" si="66"/>
        <v>3.6921807629668672E-2</v>
      </c>
      <c r="AD227" s="353">
        <f t="shared" si="49"/>
        <v>0.76180297050809265</v>
      </c>
    </row>
    <row r="228" spans="1:30" s="110" customFormat="1" ht="12">
      <c r="A228" s="58"/>
      <c r="C228" s="49" t="s">
        <v>40</v>
      </c>
      <c r="D228" s="308">
        <f>D215</f>
        <v>-6200000</v>
      </c>
      <c r="E228" s="217"/>
      <c r="F228" s="255">
        <f>F227*$D$228</f>
        <v>0</v>
      </c>
      <c r="G228" s="255">
        <f t="shared" ref="G228:AC228" si="67">G227*$D$228</f>
        <v>-180069.19638182293</v>
      </c>
      <c r="H228" s="255">
        <f t="shared" si="67"/>
        <v>-185835.97709707078</v>
      </c>
      <c r="I228" s="255">
        <f t="shared" si="67"/>
        <v>-187626.87853569238</v>
      </c>
      <c r="J228" s="255">
        <f t="shared" si="67"/>
        <v>-189435.96696314859</v>
      </c>
      <c r="K228" s="255">
        <f t="shared" si="67"/>
        <v>-191263.42424932768</v>
      </c>
      <c r="L228" s="255">
        <f t="shared" si="67"/>
        <v>-193109.43408281694</v>
      </c>
      <c r="M228" s="255">
        <f t="shared" si="67"/>
        <v>-194974.18198908944</v>
      </c>
      <c r="N228" s="255">
        <f t="shared" si="67"/>
        <v>-196942.096448817</v>
      </c>
      <c r="O228" s="255">
        <f t="shared" si="67"/>
        <v>-198929.12561659064</v>
      </c>
      <c r="P228" s="255">
        <f t="shared" si="67"/>
        <v>-200935.46063949101</v>
      </c>
      <c r="Q228" s="255">
        <f t="shared" si="67"/>
        <v>-202961.29457606922</v>
      </c>
      <c r="R228" s="255">
        <f t="shared" si="67"/>
        <v>-205006.82241546214</v>
      </c>
      <c r="S228" s="255">
        <f t="shared" si="67"/>
        <v>-207072.24109669798</v>
      </c>
      <c r="T228" s="255">
        <f t="shared" si="67"/>
        <v>-209157.74952819504</v>
      </c>
      <c r="U228" s="255">
        <f t="shared" si="67"/>
        <v>-211263.54860745594</v>
      </c>
      <c r="V228" s="255">
        <f t="shared" si="67"/>
        <v>-213389.8412409584</v>
      </c>
      <c r="W228" s="255">
        <f t="shared" si="67"/>
        <v>-215536.83236424476</v>
      </c>
      <c r="X228" s="255">
        <f t="shared" si="67"/>
        <v>-217713.06607986047</v>
      </c>
      <c r="Y228" s="255">
        <f t="shared" si="67"/>
        <v>-219910.41432490468</v>
      </c>
      <c r="Z228" s="255">
        <f t="shared" si="67"/>
        <v>-222129.08824467176</v>
      </c>
      <c r="AA228" s="255">
        <f t="shared" si="67"/>
        <v>-224369.30109590903</v>
      </c>
      <c r="AB228" s="255">
        <f t="shared" si="67"/>
        <v>-226631.2682679311</v>
      </c>
      <c r="AC228" s="268">
        <f t="shared" si="67"/>
        <v>-228915.20730394576</v>
      </c>
      <c r="AD228" s="346">
        <f t="shared" si="49"/>
        <v>-4723178.4171501752</v>
      </c>
    </row>
    <row r="229" spans="1:30" s="110" customFormat="1" ht="12">
      <c r="A229" s="58"/>
      <c r="C229" s="78" t="s">
        <v>543</v>
      </c>
      <c r="D229" s="210">
        <f>'Mode Operating Assumptions'!$D$196</f>
        <v>8.7375046258002826E-6</v>
      </c>
      <c r="E229" s="217"/>
      <c r="F229" s="55">
        <f t="shared" ref="F229:AC229" si="68">$D$229*(F$16+F$17+F$20+F$21+F$23+F$24+F$25+F$26)</f>
        <v>0</v>
      </c>
      <c r="G229" s="55">
        <f t="shared" si="68"/>
        <v>1.3554054050772688</v>
      </c>
      <c r="H229" s="55">
        <f t="shared" si="68"/>
        <v>1.3988127501890246</v>
      </c>
      <c r="I229" s="55">
        <f t="shared" si="68"/>
        <v>1.41229310962108</v>
      </c>
      <c r="J229" s="55">
        <f t="shared" si="68"/>
        <v>1.425910364999049</v>
      </c>
      <c r="K229" s="55">
        <f t="shared" si="68"/>
        <v>1.4396658852823894</v>
      </c>
      <c r="L229" s="55">
        <f t="shared" si="68"/>
        <v>1.4535610531201555</v>
      </c>
      <c r="M229" s="55">
        <f t="shared" si="68"/>
        <v>1.4675972649878917</v>
      </c>
      <c r="N229" s="55">
        <f t="shared" si="68"/>
        <v>1.4824100255768189</v>
      </c>
      <c r="O229" s="55">
        <f t="shared" si="68"/>
        <v>1.4973666651807176</v>
      </c>
      <c r="P229" s="55">
        <f t="shared" si="68"/>
        <v>1.5124686225897388</v>
      </c>
      <c r="Q229" s="55">
        <f t="shared" si="68"/>
        <v>1.5277173509819331</v>
      </c>
      <c r="R229" s="55">
        <f t="shared" si="68"/>
        <v>1.5431143180671323</v>
      </c>
      <c r="S229" s="55">
        <f t="shared" si="68"/>
        <v>1.558661006232267</v>
      </c>
      <c r="T229" s="55">
        <f t="shared" si="68"/>
        <v>1.5743589126881357</v>
      </c>
      <c r="U229" s="55">
        <f t="shared" si="68"/>
        <v>1.590209549617646</v>
      </c>
      <c r="V229" s="55">
        <f t="shared" si="68"/>
        <v>1.6062144443255348</v>
      </c>
      <c r="W229" s="55">
        <f t="shared" si="68"/>
        <v>1.6223751393895853</v>
      </c>
      <c r="X229" s="55">
        <f t="shared" si="68"/>
        <v>1.6387559474351898</v>
      </c>
      <c r="Y229" s="55">
        <f t="shared" si="68"/>
        <v>1.6552956874241145</v>
      </c>
      <c r="Z229" s="55">
        <f t="shared" si="68"/>
        <v>1.6719959486757934</v>
      </c>
      <c r="AA229" s="55">
        <f t="shared" si="68"/>
        <v>1.688858336402854</v>
      </c>
      <c r="AB229" s="55">
        <f t="shared" si="68"/>
        <v>1.7058844718700501</v>
      </c>
      <c r="AC229" s="270">
        <f t="shared" si="68"/>
        <v>1.7230759925547825</v>
      </c>
      <c r="AD229" s="353">
        <f t="shared" si="49"/>
        <v>35.552008252289156</v>
      </c>
    </row>
    <row r="230" spans="1:30" s="110" customFormat="1" ht="12">
      <c r="A230" s="58"/>
      <c r="C230" s="49" t="s">
        <v>41</v>
      </c>
      <c r="D230" s="308">
        <f>D217</f>
        <v>-291400</v>
      </c>
      <c r="E230" s="217"/>
      <c r="F230" s="255">
        <f>F229*$D$230</f>
        <v>0</v>
      </c>
      <c r="G230" s="255">
        <f t="shared" ref="G230:AC230" si="69">G229*$D$230</f>
        <v>-394965.13503951614</v>
      </c>
      <c r="H230" s="255">
        <f t="shared" si="69"/>
        <v>-407614.03540508176</v>
      </c>
      <c r="I230" s="255">
        <f t="shared" si="69"/>
        <v>-411542.2121435827</v>
      </c>
      <c r="J230" s="255">
        <f t="shared" si="69"/>
        <v>-415510.28036072286</v>
      </c>
      <c r="K230" s="255">
        <f t="shared" si="69"/>
        <v>-419518.63897128828</v>
      </c>
      <c r="L230" s="255">
        <f t="shared" si="69"/>
        <v>-423567.69087921333</v>
      </c>
      <c r="M230" s="255">
        <f t="shared" si="69"/>
        <v>-427657.8430174716</v>
      </c>
      <c r="N230" s="255">
        <f t="shared" si="69"/>
        <v>-431974.28145308502</v>
      </c>
      <c r="O230" s="255">
        <f t="shared" si="69"/>
        <v>-436332.6462336611</v>
      </c>
      <c r="P230" s="255">
        <f t="shared" si="69"/>
        <v>-440733.35662264988</v>
      </c>
      <c r="Q230" s="255">
        <f t="shared" si="69"/>
        <v>-445176.83607613528</v>
      </c>
      <c r="R230" s="255">
        <f t="shared" si="69"/>
        <v>-449663.51228476234</v>
      </c>
      <c r="S230" s="255">
        <f t="shared" si="69"/>
        <v>-454193.81721608259</v>
      </c>
      <c r="T230" s="255">
        <f t="shared" si="69"/>
        <v>-458768.18715732271</v>
      </c>
      <c r="U230" s="255">
        <f t="shared" si="69"/>
        <v>-463387.06275858206</v>
      </c>
      <c r="V230" s="255">
        <f t="shared" si="69"/>
        <v>-468050.88907646085</v>
      </c>
      <c r="W230" s="255">
        <f t="shared" si="69"/>
        <v>-472760.11561812519</v>
      </c>
      <c r="X230" s="255">
        <f t="shared" si="69"/>
        <v>-477533.48308261432</v>
      </c>
      <c r="Y230" s="255">
        <f t="shared" si="69"/>
        <v>-482353.16331538698</v>
      </c>
      <c r="Z230" s="255">
        <f t="shared" si="69"/>
        <v>-487219.61944412621</v>
      </c>
      <c r="AA230" s="255">
        <f t="shared" si="69"/>
        <v>-492133.31922779162</v>
      </c>
      <c r="AB230" s="255">
        <f t="shared" si="69"/>
        <v>-497094.73510293261</v>
      </c>
      <c r="AC230" s="268">
        <f t="shared" si="69"/>
        <v>-502104.34423046361</v>
      </c>
      <c r="AD230" s="346">
        <f t="shared" ref="AD230:AD254" si="70">SUM(F230:AC230)</f>
        <v>-10359855.204717061</v>
      </c>
    </row>
    <row r="231" spans="1:30" s="110" customFormat="1" ht="12">
      <c r="A231" s="58"/>
      <c r="C231" s="49"/>
      <c r="D231" s="308"/>
      <c r="E231" s="217"/>
      <c r="F231" s="255"/>
      <c r="G231" s="255"/>
      <c r="H231" s="255"/>
      <c r="I231" s="255"/>
      <c r="J231" s="255"/>
      <c r="K231" s="255"/>
      <c r="L231" s="255"/>
      <c r="M231" s="255"/>
      <c r="N231" s="255"/>
      <c r="O231" s="255"/>
      <c r="P231" s="255"/>
      <c r="Q231" s="255"/>
      <c r="R231" s="255"/>
      <c r="S231" s="255"/>
      <c r="T231" s="255"/>
      <c r="U231" s="255"/>
      <c r="V231" s="255"/>
      <c r="W231" s="255"/>
      <c r="X231" s="255"/>
      <c r="Y231" s="255"/>
      <c r="Z231" s="255"/>
      <c r="AA231" s="255"/>
      <c r="AB231" s="255"/>
      <c r="AC231" s="268"/>
      <c r="AD231" s="346"/>
    </row>
    <row r="232" spans="1:30" s="110" customFormat="1" ht="12">
      <c r="A232" s="58"/>
      <c r="B232" s="445" t="s">
        <v>588</v>
      </c>
      <c r="C232" s="78" t="s">
        <v>586</v>
      </c>
      <c r="D232" s="443">
        <v>-0.5</v>
      </c>
      <c r="E232" s="217"/>
      <c r="F232" s="45"/>
      <c r="G232" s="45"/>
      <c r="H232" s="45"/>
      <c r="I232" s="45"/>
      <c r="J232" s="45"/>
      <c r="K232" s="45"/>
      <c r="L232" s="45"/>
      <c r="M232" s="45"/>
      <c r="N232" s="45"/>
      <c r="O232" s="45"/>
      <c r="P232" s="45"/>
      <c r="Q232" s="45"/>
      <c r="R232" s="45"/>
      <c r="S232" s="45"/>
      <c r="T232" s="45"/>
      <c r="U232" s="45"/>
      <c r="V232" s="45"/>
      <c r="W232" s="45"/>
      <c r="X232" s="45"/>
      <c r="Y232" s="45"/>
      <c r="Z232" s="45"/>
      <c r="AA232" s="45"/>
      <c r="AB232" s="45"/>
      <c r="AC232" s="263"/>
      <c r="AD232" s="337"/>
    </row>
    <row r="233" spans="1:30" s="110" customFormat="1" ht="12">
      <c r="A233" s="58"/>
      <c r="B233" s="58"/>
      <c r="C233" s="78" t="s">
        <v>542</v>
      </c>
      <c r="D233" s="210">
        <f>D227*D$232</f>
        <v>-9.3612953332028241E-8</v>
      </c>
      <c r="E233" s="217"/>
      <c r="F233" s="55">
        <f>$D$233*(F15+F$16+F$17+F$20+F$21+F$23+F$24+F$25+F$26)</f>
        <v>0</v>
      </c>
      <c r="G233" s="55">
        <f t="shared" ref="G233:AC233" si="71">$D$233*(G15+G$16+G$17+G$20+G$21+G$23+G$24+G$25+G$26)</f>
        <v>-1.452170938563088E-2</v>
      </c>
      <c r="H233" s="55">
        <f t="shared" si="71"/>
        <v>-1.8984845684672659E-2</v>
      </c>
      <c r="I233" s="55">
        <f t="shared" si="71"/>
        <v>-1.9101251602268367E-2</v>
      </c>
      <c r="J233" s="55">
        <f t="shared" si="71"/>
        <v>-1.9219124212512026E-2</v>
      </c>
      <c r="K233" s="55">
        <f t="shared" si="71"/>
        <v>-1.9338478182330119E-2</v>
      </c>
      <c r="L233" s="55">
        <f t="shared" si="71"/>
        <v>-1.9459328325318374E-2</v>
      </c>
      <c r="M233" s="55">
        <f t="shared" si="71"/>
        <v>-1.958168960320851E-2</v>
      </c>
      <c r="N233" s="55">
        <f t="shared" si="71"/>
        <v>-1.9797291228094989E-2</v>
      </c>
      <c r="O233" s="55">
        <f t="shared" si="71"/>
        <v>-2.0014434361694863E-2</v>
      </c>
      <c r="P233" s="55">
        <f t="shared" si="71"/>
        <v>-2.0233134419095269E-2</v>
      </c>
      <c r="Q233" s="55">
        <f t="shared" si="71"/>
        <v>-2.0453406969534224E-2</v>
      </c>
      <c r="R233" s="55">
        <f t="shared" si="71"/>
        <v>-2.06752677379421E-2</v>
      </c>
      <c r="S233" s="55">
        <f t="shared" si="71"/>
        <v>-2.0898732606498605E-2</v>
      </c>
      <c r="T233" s="55">
        <f t="shared" si="71"/>
        <v>-2.1123817616205198E-2</v>
      </c>
      <c r="U233" s="55">
        <f t="shared" si="71"/>
        <v>-2.1350538968473401E-2</v>
      </c>
      <c r="V233" s="55">
        <f t="shared" si="71"/>
        <v>-2.1578913026728822E-2</v>
      </c>
      <c r="W233" s="55">
        <f t="shared" si="71"/>
        <v>-2.1808956318031331E-2</v>
      </c>
      <c r="X233" s="55">
        <f t="shared" si="71"/>
        <v>-2.2049762235376021E-2</v>
      </c>
      <c r="Y233" s="55">
        <f t="shared" si="71"/>
        <v>-2.2292270937352039E-2</v>
      </c>
      <c r="Z233" s="55">
        <f t="shared" si="71"/>
        <v>-2.2536499451805709E-2</v>
      </c>
      <c r="AA233" s="55">
        <f t="shared" si="71"/>
        <v>-2.2782464976861816E-2</v>
      </c>
      <c r="AB233" s="55">
        <f t="shared" si="71"/>
        <v>-2.303018488262637E-2</v>
      </c>
      <c r="AC233" s="270">
        <f t="shared" si="71"/>
        <v>-2.3279676712906459E-2</v>
      </c>
      <c r="AD233" s="338">
        <f>SUM(F233:AC233)</f>
        <v>-0.47411177944516808</v>
      </c>
    </row>
    <row r="234" spans="1:30" s="110" customFormat="1" ht="12">
      <c r="A234" s="58"/>
      <c r="B234" s="58"/>
      <c r="C234" s="49" t="s">
        <v>40</v>
      </c>
      <c r="D234" s="308">
        <f>D228</f>
        <v>-6200000</v>
      </c>
      <c r="E234" s="217"/>
      <c r="F234" s="315">
        <f t="shared" ref="F234" si="72">F233*$D$234</f>
        <v>0</v>
      </c>
      <c r="G234" s="315">
        <f t="shared" ref="G234:AC234" si="73">G233*$D$234</f>
        <v>90034.598190911463</v>
      </c>
      <c r="H234" s="315">
        <f t="shared" si="73"/>
        <v>117706.04324497048</v>
      </c>
      <c r="I234" s="315">
        <f t="shared" si="73"/>
        <v>118427.75993406387</v>
      </c>
      <c r="J234" s="315">
        <f t="shared" si="73"/>
        <v>119158.57011757456</v>
      </c>
      <c r="K234" s="315">
        <f t="shared" si="73"/>
        <v>119898.56473044674</v>
      </c>
      <c r="L234" s="315">
        <f t="shared" si="73"/>
        <v>120647.83561697393</v>
      </c>
      <c r="M234" s="315">
        <f t="shared" si="73"/>
        <v>121406.47553989277</v>
      </c>
      <c r="N234" s="315">
        <f t="shared" si="73"/>
        <v>122743.20561418893</v>
      </c>
      <c r="O234" s="315">
        <f t="shared" si="73"/>
        <v>124089.49304250815</v>
      </c>
      <c r="P234" s="315">
        <f t="shared" si="73"/>
        <v>125445.43339839067</v>
      </c>
      <c r="Q234" s="315">
        <f t="shared" si="73"/>
        <v>126811.12321111219</v>
      </c>
      <c r="R234" s="315">
        <f t="shared" si="73"/>
        <v>128186.65997524103</v>
      </c>
      <c r="S234" s="315">
        <f t="shared" si="73"/>
        <v>129572.14216029135</v>
      </c>
      <c r="T234" s="315">
        <f t="shared" si="73"/>
        <v>130967.66922047222</v>
      </c>
      <c r="U234" s="315">
        <f t="shared" si="73"/>
        <v>132373.34160453509</v>
      </c>
      <c r="V234" s="315">
        <f t="shared" si="73"/>
        <v>133789.2607657187</v>
      </c>
      <c r="W234" s="315">
        <f t="shared" si="73"/>
        <v>135215.52917179425</v>
      </c>
      <c r="X234" s="315">
        <f t="shared" si="73"/>
        <v>136708.52585933133</v>
      </c>
      <c r="Y234" s="315">
        <f t="shared" si="73"/>
        <v>138212.07981158263</v>
      </c>
      <c r="Z234" s="315">
        <f t="shared" si="73"/>
        <v>139726.29660119538</v>
      </c>
      <c r="AA234" s="315">
        <f t="shared" si="73"/>
        <v>141251.28285654326</v>
      </c>
      <c r="AB234" s="315">
        <f t="shared" si="73"/>
        <v>142787.14627228348</v>
      </c>
      <c r="AC234" s="390">
        <f t="shared" si="73"/>
        <v>144333.99562002005</v>
      </c>
      <c r="AD234" s="359">
        <f>SUM(F234:AC234)</f>
        <v>2939493.0325600426</v>
      </c>
    </row>
    <row r="235" spans="1:30" s="110" customFormat="1" ht="12">
      <c r="A235" s="58"/>
      <c r="B235" s="58"/>
      <c r="C235" s="78" t="s">
        <v>543</v>
      </c>
      <c r="D235" s="210">
        <f>D229*D$232</f>
        <v>-4.3687523129001413E-6</v>
      </c>
      <c r="E235" s="217"/>
      <c r="F235" s="55">
        <f>$D$235*(F$15+F$16+F$17+F$20+F$21+F$23+F$24+F$25+F$26)</f>
        <v>0</v>
      </c>
      <c r="G235" s="55">
        <f t="shared" ref="G235:AC235" si="74">$D$235*(G$15+G$16+G$17+G$20+G$21+G$23+G$24+G$25+G$26)</f>
        <v>-0.67770270253863441</v>
      </c>
      <c r="H235" s="55">
        <f t="shared" si="74"/>
        <v>-0.88598944422565562</v>
      </c>
      <c r="I235" s="55">
        <f t="shared" si="74"/>
        <v>-0.89142190419652945</v>
      </c>
      <c r="J235" s="55">
        <f t="shared" si="74"/>
        <v>-0.89692281214035974</v>
      </c>
      <c r="K235" s="55">
        <f t="shared" si="74"/>
        <v>-0.90249285253687606</v>
      </c>
      <c r="L235" s="55">
        <f t="shared" si="74"/>
        <v>-0.90813271671060491</v>
      </c>
      <c r="M235" s="55">
        <f t="shared" si="74"/>
        <v>-0.91384310289931903</v>
      </c>
      <c r="N235" s="55">
        <f t="shared" si="74"/>
        <v>-0.92390485251688581</v>
      </c>
      <c r="O235" s="55">
        <f t="shared" si="74"/>
        <v>-0.93403854164193834</v>
      </c>
      <c r="P235" s="55">
        <f t="shared" si="74"/>
        <v>-0.94424488966955189</v>
      </c>
      <c r="Q235" s="55">
        <f t="shared" si="74"/>
        <v>-0.95452462318875231</v>
      </c>
      <c r="R235" s="55">
        <f t="shared" si="74"/>
        <v>-0.96487847605445509</v>
      </c>
      <c r="S235" s="55">
        <f t="shared" si="74"/>
        <v>-0.97530718946012573</v>
      </c>
      <c r="T235" s="55">
        <f t="shared" si="74"/>
        <v>-0.98581151201116313</v>
      </c>
      <c r="U235" s="55">
        <f t="shared" si="74"/>
        <v>-0.99639219979902161</v>
      </c>
      <c r="V235" s="55">
        <f t="shared" si="74"/>
        <v>-1.0070500164760692</v>
      </c>
      <c r="W235" s="55">
        <f t="shared" si="74"/>
        <v>-1.0177857333311975</v>
      </c>
      <c r="X235" s="55">
        <f t="shared" si="74"/>
        <v>-1.0290237230635406</v>
      </c>
      <c r="Y235" s="55">
        <f t="shared" si="74"/>
        <v>-1.0403411787675436</v>
      </c>
      <c r="Z235" s="55">
        <f t="shared" si="74"/>
        <v>-1.0517388951029238</v>
      </c>
      <c r="AA235" s="55">
        <f t="shared" si="74"/>
        <v>-1.0632176746759952</v>
      </c>
      <c r="AB235" s="55">
        <f t="shared" si="74"/>
        <v>-1.0747783281191339</v>
      </c>
      <c r="AC235" s="270">
        <f t="shared" si="74"/>
        <v>-1.0864216741710411</v>
      </c>
      <c r="AD235" s="338">
        <f>SUM(F235:AC235)</f>
        <v>-22.125965043297324</v>
      </c>
    </row>
    <row r="236" spans="1:30" s="110" customFormat="1" ht="12">
      <c r="A236" s="58"/>
      <c r="B236" s="58"/>
      <c r="C236" s="49" t="s">
        <v>41</v>
      </c>
      <c r="D236" s="308">
        <f>D230</f>
        <v>-291400</v>
      </c>
      <c r="E236" s="217"/>
      <c r="F236" s="315">
        <f t="shared" ref="F236" si="75">F235*$D$236</f>
        <v>0</v>
      </c>
      <c r="G236" s="315">
        <f t="shared" ref="G236:AC236" si="76">G235*$D$236</f>
        <v>197482.56751975807</v>
      </c>
      <c r="H236" s="315">
        <f t="shared" si="76"/>
        <v>258177.32404735606</v>
      </c>
      <c r="I236" s="315">
        <f t="shared" si="76"/>
        <v>259760.34288286869</v>
      </c>
      <c r="J236" s="315">
        <f t="shared" si="76"/>
        <v>261363.30745770084</v>
      </c>
      <c r="K236" s="315">
        <f t="shared" si="76"/>
        <v>262986.41722924571</v>
      </c>
      <c r="L236" s="315">
        <f t="shared" si="76"/>
        <v>264629.87364947028</v>
      </c>
      <c r="M236" s="315">
        <f t="shared" si="76"/>
        <v>266293.88018486154</v>
      </c>
      <c r="N236" s="315">
        <f t="shared" si="76"/>
        <v>269225.8740234205</v>
      </c>
      <c r="O236" s="315">
        <f t="shared" si="76"/>
        <v>272178.8310344608</v>
      </c>
      <c r="P236" s="315">
        <f t="shared" si="76"/>
        <v>275152.96084970742</v>
      </c>
      <c r="Q236" s="315">
        <f t="shared" si="76"/>
        <v>278148.47519720241</v>
      </c>
      <c r="R236" s="315">
        <f t="shared" si="76"/>
        <v>281165.5879222682</v>
      </c>
      <c r="S236" s="315">
        <f t="shared" si="76"/>
        <v>284204.51500868064</v>
      </c>
      <c r="T236" s="315">
        <f t="shared" si="76"/>
        <v>287265.47460005293</v>
      </c>
      <c r="U236" s="315">
        <f t="shared" si="76"/>
        <v>290348.68702143489</v>
      </c>
      <c r="V236" s="315">
        <f t="shared" si="76"/>
        <v>293454.37480112654</v>
      </c>
      <c r="W236" s="315">
        <f t="shared" si="76"/>
        <v>296582.76269271097</v>
      </c>
      <c r="X236" s="315">
        <f t="shared" si="76"/>
        <v>299857.51290071575</v>
      </c>
      <c r="Y236" s="315">
        <f t="shared" si="76"/>
        <v>303155.41949286219</v>
      </c>
      <c r="Z236" s="315">
        <f t="shared" si="76"/>
        <v>306476.71403299202</v>
      </c>
      <c r="AA236" s="315">
        <f t="shared" si="76"/>
        <v>309821.63040058501</v>
      </c>
      <c r="AB236" s="315">
        <f t="shared" si="76"/>
        <v>313190.40481391561</v>
      </c>
      <c r="AC236" s="390">
        <f t="shared" si="76"/>
        <v>316583.27585344139</v>
      </c>
      <c r="AD236" s="359">
        <f>SUM(F236:AC236)</f>
        <v>6447506.2136168377</v>
      </c>
    </row>
    <row r="237" spans="1:30" s="110" customFormat="1" ht="12">
      <c r="A237" s="58"/>
      <c r="B237" s="58"/>
      <c r="C237" s="49"/>
      <c r="D237" s="210"/>
      <c r="E237" s="217"/>
      <c r="F237" s="255"/>
      <c r="G237" s="255"/>
      <c r="H237" s="255"/>
      <c r="I237" s="255"/>
      <c r="J237" s="255"/>
      <c r="K237" s="255"/>
      <c r="L237" s="255"/>
      <c r="M237" s="255"/>
      <c r="N237" s="255"/>
      <c r="O237" s="255"/>
      <c r="P237" s="255"/>
      <c r="Q237" s="255"/>
      <c r="R237" s="255"/>
      <c r="S237" s="255"/>
      <c r="T237" s="255"/>
      <c r="U237" s="255"/>
      <c r="V237" s="255"/>
      <c r="W237" s="255"/>
      <c r="X237" s="255"/>
      <c r="Y237" s="255"/>
      <c r="Z237" s="255"/>
      <c r="AA237" s="255"/>
      <c r="AB237" s="255"/>
      <c r="AC237" s="268"/>
      <c r="AD237" s="346">
        <f t="shared" si="70"/>
        <v>0</v>
      </c>
    </row>
    <row r="238" spans="1:30" s="110" customFormat="1" ht="12">
      <c r="A238" s="58"/>
      <c r="B238" s="58" t="s">
        <v>528</v>
      </c>
      <c r="C238" s="78" t="s">
        <v>581</v>
      </c>
      <c r="D238" s="210"/>
      <c r="E238" s="217"/>
      <c r="AC238" s="262"/>
      <c r="AD238" s="337"/>
    </row>
    <row r="239" spans="1:30" s="110" customFormat="1" ht="12">
      <c r="A239" s="58"/>
      <c r="B239" s="58"/>
      <c r="C239" s="78" t="s">
        <v>542</v>
      </c>
      <c r="D239" s="210">
        <f>'Mode Operating Assumptions'!$D$184</f>
        <v>8.6836127924972328E-9</v>
      </c>
      <c r="E239" s="217"/>
      <c r="F239" s="55">
        <f>$D239*F$32</f>
        <v>0</v>
      </c>
      <c r="G239" s="55">
        <f t="shared" ref="G239:AC239" si="77">$D239*G$32</f>
        <v>-2.3438590559188717E-3</v>
      </c>
      <c r="H239" s="55">
        <f t="shared" si="77"/>
        <v>-4.5282339255171078E-3</v>
      </c>
      <c r="I239" s="55">
        <f t="shared" si="77"/>
        <v>-4.53676137429131E-3</v>
      </c>
      <c r="J239" s="55">
        <f t="shared" si="77"/>
        <v>-4.5455255528301592E-3</v>
      </c>
      <c r="K239" s="55">
        <f t="shared" si="77"/>
        <v>-4.5545288284313014E-3</v>
      </c>
      <c r="L239" s="55">
        <f t="shared" si="77"/>
        <v>-4.5637735920653613E-3</v>
      </c>
      <c r="M239" s="55">
        <f t="shared" si="77"/>
        <v>-4.5732622586126676E-3</v>
      </c>
      <c r="N239" s="55">
        <f t="shared" si="77"/>
        <v>-4.628896302768022E-3</v>
      </c>
      <c r="O239" s="55">
        <f t="shared" si="77"/>
        <v>-4.6847791522851776E-3</v>
      </c>
      <c r="P239" s="55">
        <f t="shared" si="77"/>
        <v>-4.7409132952177533E-3</v>
      </c>
      <c r="Q239" s="55">
        <f t="shared" si="77"/>
        <v>-4.7973012444999042E-3</v>
      </c>
      <c r="R239" s="55">
        <f t="shared" si="77"/>
        <v>-4.8539455381951258E-3</v>
      </c>
      <c r="S239" s="55">
        <f t="shared" si="77"/>
        <v>-4.9108487397475503E-3</v>
      </c>
      <c r="T239" s="55">
        <f t="shared" si="77"/>
        <v>-4.9680134382357457E-3</v>
      </c>
      <c r="U239" s="55">
        <f t="shared" si="77"/>
        <v>-5.0254422486290737E-3</v>
      </c>
      <c r="V239" s="55">
        <f t="shared" si="77"/>
        <v>-5.0831378120465842E-3</v>
      </c>
      <c r="W239" s="55">
        <f t="shared" si="77"/>
        <v>-5.1411027960185183E-3</v>
      </c>
      <c r="X239" s="55">
        <f t="shared" si="77"/>
        <v>-5.2038824002555223E-3</v>
      </c>
      <c r="Y239" s="55">
        <f t="shared" si="77"/>
        <v>-5.2669368404000922E-3</v>
      </c>
      <c r="Z239" s="55">
        <f t="shared" si="77"/>
        <v>-5.3302688648113076E-3</v>
      </c>
      <c r="AA239" s="55">
        <f t="shared" si="77"/>
        <v>-5.3938812493318344E-3</v>
      </c>
      <c r="AB239" s="55">
        <f t="shared" si="77"/>
        <v>-5.4577767975627633E-3</v>
      </c>
      <c r="AC239" s="270">
        <f t="shared" si="77"/>
        <v>-5.5219583411412008E-3</v>
      </c>
      <c r="AD239" s="353">
        <f t="shared" si="70"/>
        <v>-0.11065502964881296</v>
      </c>
    </row>
    <row r="240" spans="1:30" s="110" customFormat="1" ht="12">
      <c r="A240" s="58"/>
      <c r="B240" s="58"/>
      <c r="C240" s="49" t="s">
        <v>40</v>
      </c>
      <c r="D240" s="308">
        <f>D228</f>
        <v>-6200000</v>
      </c>
      <c r="E240" s="217"/>
      <c r="F240" s="255">
        <f>F239*$D$240</f>
        <v>0</v>
      </c>
      <c r="G240" s="255">
        <f t="shared" ref="G240:AC240" si="78">G239*$D$240</f>
        <v>14531.926146697006</v>
      </c>
      <c r="H240" s="255">
        <f t="shared" si="78"/>
        <v>28075.050338206067</v>
      </c>
      <c r="I240" s="255">
        <f t="shared" si="78"/>
        <v>28127.920520606123</v>
      </c>
      <c r="J240" s="255">
        <f t="shared" si="78"/>
        <v>28182.258427546985</v>
      </c>
      <c r="K240" s="255">
        <f t="shared" si="78"/>
        <v>28238.07873627407</v>
      </c>
      <c r="L240" s="255">
        <f t="shared" si="78"/>
        <v>28295.396270805239</v>
      </c>
      <c r="M240" s="255">
        <f t="shared" si="78"/>
        <v>28354.22600339854</v>
      </c>
      <c r="N240" s="255">
        <f t="shared" si="78"/>
        <v>28699.157077161737</v>
      </c>
      <c r="O240" s="255">
        <f t="shared" si="78"/>
        <v>29045.630744168102</v>
      </c>
      <c r="P240" s="255">
        <f t="shared" si="78"/>
        <v>29393.662430350068</v>
      </c>
      <c r="Q240" s="255">
        <f t="shared" si="78"/>
        <v>29743.267715899405</v>
      </c>
      <c r="R240" s="255">
        <f t="shared" si="78"/>
        <v>30094.462336809778</v>
      </c>
      <c r="S240" s="255">
        <f t="shared" si="78"/>
        <v>30447.262186434811</v>
      </c>
      <c r="T240" s="255">
        <f t="shared" si="78"/>
        <v>30801.683317061623</v>
      </c>
      <c r="U240" s="255">
        <f t="shared" si="78"/>
        <v>31157.741941500255</v>
      </c>
      <c r="V240" s="255">
        <f t="shared" si="78"/>
        <v>31515.454434688821</v>
      </c>
      <c r="W240" s="255">
        <f t="shared" si="78"/>
        <v>31874.837335314813</v>
      </c>
      <c r="X240" s="255">
        <f t="shared" si="78"/>
        <v>32264.070881584237</v>
      </c>
      <c r="Y240" s="255">
        <f t="shared" si="78"/>
        <v>32655.008410480572</v>
      </c>
      <c r="Z240" s="255">
        <f t="shared" si="78"/>
        <v>33047.666961830109</v>
      </c>
      <c r="AA240" s="255">
        <f t="shared" si="78"/>
        <v>33442.063745857376</v>
      </c>
      <c r="AB240" s="255">
        <f t="shared" si="78"/>
        <v>33838.216144889135</v>
      </c>
      <c r="AC240" s="268">
        <f t="shared" si="78"/>
        <v>34236.141715075442</v>
      </c>
      <c r="AD240" s="346">
        <f t="shared" si="70"/>
        <v>686061.18382264045</v>
      </c>
    </row>
    <row r="241" spans="1:30" s="110" customFormat="1" ht="12">
      <c r="A241" s="58"/>
      <c r="B241" s="58"/>
      <c r="C241" s="78" t="s">
        <v>543</v>
      </c>
      <c r="D241" s="210">
        <f>'Mode Operating Assumptions'!$D$185</f>
        <v>8.1339537419145546E-7</v>
      </c>
      <c r="E241" s="217"/>
      <c r="F241" s="55">
        <f>$D241*F$32</f>
        <v>0</v>
      </c>
      <c r="G241" s="55">
        <f t="shared" ref="G241:AC241" si="79">$D241*G$32</f>
        <v>-0.21954964591332218</v>
      </c>
      <c r="H241" s="55">
        <f t="shared" si="79"/>
        <v>-0.42416038304411824</v>
      </c>
      <c r="I241" s="55">
        <f t="shared" si="79"/>
        <v>-0.42495915051018757</v>
      </c>
      <c r="J241" s="55">
        <f t="shared" si="79"/>
        <v>-0.42578009249049409</v>
      </c>
      <c r="K241" s="55">
        <f t="shared" si="79"/>
        <v>-0.42662343073018022</v>
      </c>
      <c r="L241" s="55">
        <f t="shared" si="79"/>
        <v>-0.42748938919183965</v>
      </c>
      <c r="M241" s="55">
        <f t="shared" si="79"/>
        <v>-0.42837819407769234</v>
      </c>
      <c r="N241" s="55">
        <f t="shared" si="79"/>
        <v>-0.43358944373205593</v>
      </c>
      <c r="O241" s="55">
        <f t="shared" si="79"/>
        <v>-0.43882399902373881</v>
      </c>
      <c r="P241" s="55">
        <f t="shared" si="79"/>
        <v>-0.44408209300911428</v>
      </c>
      <c r="Q241" s="55">
        <f t="shared" si="79"/>
        <v>-0.44936396107511933</v>
      </c>
      <c r="R241" s="55">
        <f t="shared" si="79"/>
        <v>-0.45466984096256019</v>
      </c>
      <c r="S241" s="55">
        <f t="shared" si="79"/>
        <v>-0.45999997278965143</v>
      </c>
      <c r="T241" s="55">
        <f t="shared" si="79"/>
        <v>-0.46535459907578919</v>
      </c>
      <c r="U241" s="55">
        <f t="shared" si="79"/>
        <v>-0.47073396476556417</v>
      </c>
      <c r="V241" s="55">
        <f t="shared" si="79"/>
        <v>-0.47613831725301281</v>
      </c>
      <c r="W241" s="55">
        <f t="shared" si="79"/>
        <v>-0.48156790640611158</v>
      </c>
      <c r="X241" s="55">
        <f t="shared" si="79"/>
        <v>-0.48744848179566252</v>
      </c>
      <c r="Y241" s="55">
        <f t="shared" si="79"/>
        <v>-0.49335480110784324</v>
      </c>
      <c r="Z241" s="55">
        <f t="shared" si="79"/>
        <v>-0.49928712178188012</v>
      </c>
      <c r="AA241" s="55">
        <f t="shared" si="79"/>
        <v>-0.50524570383139189</v>
      </c>
      <c r="AB241" s="55">
        <f t="shared" si="79"/>
        <v>-0.51123080987013303</v>
      </c>
      <c r="AC241" s="270">
        <f t="shared" si="79"/>
        <v>-0.51724270513799586</v>
      </c>
      <c r="AD241" s="353">
        <f t="shared" si="70"/>
        <v>-10.365074007575457</v>
      </c>
    </row>
    <row r="242" spans="1:30" s="110" customFormat="1" ht="12">
      <c r="A242" s="58"/>
      <c r="B242" s="58"/>
      <c r="C242" s="49" t="s">
        <v>41</v>
      </c>
      <c r="D242" s="308">
        <f>D230</f>
        <v>-291400</v>
      </c>
      <c r="E242" s="217"/>
      <c r="F242" s="255">
        <f>F241*$D$242</f>
        <v>0</v>
      </c>
      <c r="G242" s="255">
        <f t="shared" ref="G242:AC242" si="80">G241*$D$242</f>
        <v>63976.766819142082</v>
      </c>
      <c r="H242" s="255">
        <f t="shared" si="80"/>
        <v>123600.33561905606</v>
      </c>
      <c r="I242" s="255">
        <f t="shared" si="80"/>
        <v>123833.09645866866</v>
      </c>
      <c r="J242" s="255">
        <f t="shared" si="80"/>
        <v>124072.31895172998</v>
      </c>
      <c r="K242" s="255">
        <f t="shared" si="80"/>
        <v>124318.06771477452</v>
      </c>
      <c r="L242" s="255">
        <f t="shared" si="80"/>
        <v>124570.40801050207</v>
      </c>
      <c r="M242" s="255">
        <f t="shared" si="80"/>
        <v>124829.40575423955</v>
      </c>
      <c r="N242" s="255">
        <f t="shared" si="80"/>
        <v>126347.9639035211</v>
      </c>
      <c r="O242" s="255">
        <f t="shared" si="80"/>
        <v>127873.31331551749</v>
      </c>
      <c r="P242" s="255">
        <f t="shared" si="80"/>
        <v>129405.52190285589</v>
      </c>
      <c r="Q242" s="255">
        <f t="shared" si="80"/>
        <v>130944.65825728978</v>
      </c>
      <c r="R242" s="255">
        <f t="shared" si="80"/>
        <v>132490.79165649004</v>
      </c>
      <c r="S242" s="255">
        <f t="shared" si="80"/>
        <v>134043.99207090444</v>
      </c>
      <c r="T242" s="255">
        <f t="shared" si="80"/>
        <v>135604.33017068496</v>
      </c>
      <c r="U242" s="255">
        <f t="shared" si="80"/>
        <v>137171.8773326854</v>
      </c>
      <c r="V242" s="255">
        <f t="shared" si="80"/>
        <v>138746.70564752794</v>
      </c>
      <c r="W242" s="255">
        <f t="shared" si="80"/>
        <v>140328.88792674092</v>
      </c>
      <c r="X242" s="255">
        <f t="shared" si="80"/>
        <v>142042.48759525607</v>
      </c>
      <c r="Y242" s="255">
        <f t="shared" si="80"/>
        <v>143763.58904282551</v>
      </c>
      <c r="Z242" s="255">
        <f t="shared" si="80"/>
        <v>145492.26728723987</v>
      </c>
      <c r="AA242" s="255">
        <f t="shared" si="80"/>
        <v>147228.59809646758</v>
      </c>
      <c r="AB242" s="255">
        <f t="shared" si="80"/>
        <v>148972.65799615678</v>
      </c>
      <c r="AC242" s="268">
        <f t="shared" si="80"/>
        <v>150724.52427721198</v>
      </c>
      <c r="AD242" s="346">
        <f t="shared" si="70"/>
        <v>3020382.5658074887</v>
      </c>
    </row>
    <row r="243" spans="1:30" s="110" customFormat="1" ht="12">
      <c r="A243" s="58"/>
      <c r="B243" s="58"/>
      <c r="C243" s="78" t="s">
        <v>554</v>
      </c>
      <c r="D243" s="210">
        <f>'Mode Operating Assumptions'!$D$183</f>
        <v>1.8640215942009768E-6</v>
      </c>
      <c r="E243" s="217"/>
      <c r="F243" s="55">
        <f>$D243*F$32</f>
        <v>0</v>
      </c>
      <c r="G243" s="55">
        <f t="shared" ref="G243:AC243" si="81">$D243*G$32</f>
        <v>-0.50313204865274219</v>
      </c>
      <c r="H243" s="55">
        <f t="shared" si="81"/>
        <v>-0.97202927196964106</v>
      </c>
      <c r="I243" s="55">
        <f t="shared" si="81"/>
        <v>-0.97385977144473157</v>
      </c>
      <c r="J243" s="55">
        <f t="shared" si="81"/>
        <v>-0.9757410872567357</v>
      </c>
      <c r="K243" s="55">
        <f t="shared" si="81"/>
        <v>-0.97767372756902293</v>
      </c>
      <c r="L243" s="55">
        <f t="shared" si="81"/>
        <v>-0.97965820562659589</v>
      </c>
      <c r="M243" s="55">
        <f t="shared" si="81"/>
        <v>-0.98169503980690787</v>
      </c>
      <c r="N243" s="55">
        <f t="shared" si="81"/>
        <v>-0.99363742624863305</v>
      </c>
      <c r="O243" s="55">
        <f t="shared" si="81"/>
        <v>-1.0056332211711638</v>
      </c>
      <c r="P243" s="55">
        <f t="shared" si="81"/>
        <v>-1.0176829586593084</v>
      </c>
      <c r="Q243" s="55">
        <f t="shared" si="81"/>
        <v>-1.0297871781387231</v>
      </c>
      <c r="R243" s="55">
        <f t="shared" si="81"/>
        <v>-1.0419464244293204</v>
      </c>
      <c r="S243" s="55">
        <f t="shared" si="81"/>
        <v>-1.0541612477992124</v>
      </c>
      <c r="T243" s="55">
        <f t="shared" si="81"/>
        <v>-1.0664322040191916</v>
      </c>
      <c r="U243" s="55">
        <f t="shared" si="81"/>
        <v>-1.0787598544177592</v>
      </c>
      <c r="V243" s="55">
        <f t="shared" si="81"/>
        <v>-1.0911447659367015</v>
      </c>
      <c r="W243" s="55">
        <f t="shared" si="81"/>
        <v>-1.1035875111872213</v>
      </c>
      <c r="X243" s="55">
        <f t="shared" si="81"/>
        <v>-1.1170637613113947</v>
      </c>
      <c r="Y243" s="55">
        <f t="shared" si="81"/>
        <v>-1.1305990076251509</v>
      </c>
      <c r="Z243" s="55">
        <f t="shared" si="81"/>
        <v>-1.1441938400903855</v>
      </c>
      <c r="AA243" s="55">
        <f t="shared" si="81"/>
        <v>-1.1578488545686136</v>
      </c>
      <c r="AB243" s="55">
        <f t="shared" si="81"/>
        <v>-1.171564652879965</v>
      </c>
      <c r="AC243" s="270">
        <f t="shared" si="81"/>
        <v>-1.1853418428627709</v>
      </c>
      <c r="AD243" s="353">
        <f t="shared" si="70"/>
        <v>-23.753173903671893</v>
      </c>
    </row>
    <row r="244" spans="1:30" s="110" customFormat="1" ht="12">
      <c r="A244" s="58"/>
      <c r="B244" s="58"/>
      <c r="C244" s="49" t="s">
        <v>530</v>
      </c>
      <c r="D244" s="308">
        <f>-'Mode Operating Assumptions'!C172</f>
        <v>-3285</v>
      </c>
      <c r="E244" s="217"/>
      <c r="F244" s="255">
        <f>F243*$D$244</f>
        <v>0</v>
      </c>
      <c r="G244" s="255">
        <f t="shared" ref="G244:AC244" si="82">G243*$D$244</f>
        <v>1652.7887798242582</v>
      </c>
      <c r="H244" s="255">
        <f t="shared" si="82"/>
        <v>3193.1161584202709</v>
      </c>
      <c r="I244" s="255">
        <f t="shared" si="82"/>
        <v>3199.1293491959432</v>
      </c>
      <c r="J244" s="255">
        <f t="shared" si="82"/>
        <v>3205.3094716383766</v>
      </c>
      <c r="K244" s="255">
        <f t="shared" si="82"/>
        <v>3211.6581950642403</v>
      </c>
      <c r="L244" s="255">
        <f t="shared" si="82"/>
        <v>3218.1772054833673</v>
      </c>
      <c r="M244" s="255">
        <f t="shared" si="82"/>
        <v>3224.8682057656924</v>
      </c>
      <c r="N244" s="255">
        <f t="shared" si="82"/>
        <v>3264.0989452267595</v>
      </c>
      <c r="O244" s="255">
        <f t="shared" si="82"/>
        <v>3303.5051315472733</v>
      </c>
      <c r="P244" s="255">
        <f t="shared" si="82"/>
        <v>3343.0885191958278</v>
      </c>
      <c r="Q244" s="255">
        <f t="shared" si="82"/>
        <v>3382.8508801857056</v>
      </c>
      <c r="R244" s="255">
        <f t="shared" si="82"/>
        <v>3422.7940042503174</v>
      </c>
      <c r="S244" s="255">
        <f t="shared" si="82"/>
        <v>3462.9196990204127</v>
      </c>
      <c r="T244" s="255">
        <f t="shared" si="82"/>
        <v>3503.2297902030446</v>
      </c>
      <c r="U244" s="255">
        <f t="shared" si="82"/>
        <v>3543.7261217623391</v>
      </c>
      <c r="V244" s="255">
        <f t="shared" si="82"/>
        <v>3584.4105561020647</v>
      </c>
      <c r="W244" s="255">
        <f t="shared" si="82"/>
        <v>3625.2849742500221</v>
      </c>
      <c r="X244" s="255">
        <f t="shared" si="82"/>
        <v>3669.5544559079317</v>
      </c>
      <c r="Y244" s="255">
        <f t="shared" si="82"/>
        <v>3714.0177400486205</v>
      </c>
      <c r="Z244" s="255">
        <f t="shared" si="82"/>
        <v>3758.6767646969165</v>
      </c>
      <c r="AA244" s="255">
        <f t="shared" si="82"/>
        <v>3803.533487257896</v>
      </c>
      <c r="AB244" s="255">
        <f t="shared" si="82"/>
        <v>3848.5898847106851</v>
      </c>
      <c r="AC244" s="268">
        <f t="shared" si="82"/>
        <v>3893.8479538042025</v>
      </c>
      <c r="AD244" s="346">
        <f t="shared" si="70"/>
        <v>78029.17627356216</v>
      </c>
    </row>
    <row r="245" spans="1:30" s="110" customFormat="1" ht="12">
      <c r="A245" s="58"/>
      <c r="B245" s="58"/>
      <c r="D245" s="308"/>
      <c r="E245" s="217"/>
      <c r="F245" s="255"/>
      <c r="G245" s="255"/>
      <c r="H245" s="255"/>
      <c r="I245" s="255"/>
      <c r="J245" s="255"/>
      <c r="K245" s="255"/>
      <c r="L245" s="255"/>
      <c r="M245" s="255"/>
      <c r="N245" s="255"/>
      <c r="O245" s="255"/>
      <c r="P245" s="255"/>
      <c r="Q245" s="255"/>
      <c r="R245" s="255"/>
      <c r="S245" s="255"/>
      <c r="T245" s="255"/>
      <c r="U245" s="255"/>
      <c r="V245" s="255"/>
      <c r="W245" s="255"/>
      <c r="X245" s="255"/>
      <c r="Y245" s="255"/>
      <c r="Z245" s="255"/>
      <c r="AA245" s="255"/>
      <c r="AB245" s="255"/>
      <c r="AC245" s="268"/>
      <c r="AD245" s="346"/>
    </row>
    <row r="246" spans="1:30" s="5" customFormat="1" ht="12">
      <c r="A246" s="58"/>
      <c r="B246" s="58"/>
      <c r="C246" s="295" t="s">
        <v>520</v>
      </c>
      <c r="D246" s="212"/>
      <c r="E246" s="220"/>
      <c r="F246" s="289">
        <f>F234+F236+F215+F217++F221+F223+F228+F230+F240+F242+F244</f>
        <v>0</v>
      </c>
      <c r="G246" s="289">
        <f t="shared" ref="G246:AC246" si="83">G234+G236+G215+G217++G221+G223+G228+G230+G240+G242+G244</f>
        <v>-184632.02318227882</v>
      </c>
      <c r="H246" s="289">
        <f t="shared" si="83"/>
        <v>798238.73649842863</v>
      </c>
      <c r="I246" s="289">
        <f t="shared" si="83"/>
        <v>789472.28736231045</v>
      </c>
      <c r="J246" s="289">
        <f t="shared" si="83"/>
        <v>780687.19039185089</v>
      </c>
      <c r="K246" s="289">
        <f t="shared" si="83"/>
        <v>771883.25910870649</v>
      </c>
      <c r="L246" s="289">
        <f t="shared" si="83"/>
        <v>763060.30516975035</v>
      </c>
      <c r="M246" s="289">
        <f t="shared" si="83"/>
        <v>754218.13834842446</v>
      </c>
      <c r="N246" s="289">
        <f t="shared" si="83"/>
        <v>766272.29865012423</v>
      </c>
      <c r="O246" s="289">
        <f t="shared" si="83"/>
        <v>778306.85989051859</v>
      </c>
      <c r="P246" s="289">
        <f t="shared" si="83"/>
        <v>790321.62607899448</v>
      </c>
      <c r="Q246" s="289">
        <f t="shared" si="83"/>
        <v>802316.39926503296</v>
      </c>
      <c r="R246" s="289">
        <f t="shared" si="83"/>
        <v>814290.97951860901</v>
      </c>
      <c r="S246" s="289">
        <f t="shared" si="83"/>
        <v>826245.16491039901</v>
      </c>
      <c r="T246" s="289">
        <f t="shared" si="83"/>
        <v>838178.75149178377</v>
      </c>
      <c r="U246" s="289">
        <f t="shared" si="83"/>
        <v>850091.53327466012</v>
      </c>
      <c r="V246" s="289">
        <f t="shared" si="83"/>
        <v>861983.30221104366</v>
      </c>
      <c r="W246" s="289">
        <f t="shared" si="83"/>
        <v>873853.84817246767</v>
      </c>
      <c r="X246" s="289">
        <f t="shared" si="83"/>
        <v>887772.93331938516</v>
      </c>
      <c r="Y246" s="289">
        <f t="shared" si="83"/>
        <v>901670.36890954827</v>
      </c>
      <c r="Z246" s="289">
        <f t="shared" si="83"/>
        <v>915545.93844738824</v>
      </c>
      <c r="AA246" s="289">
        <f t="shared" si="83"/>
        <v>929399.42327238224</v>
      </c>
      <c r="AB246" s="289">
        <f t="shared" si="83"/>
        <v>943230.60253740172</v>
      </c>
      <c r="AC246" s="318">
        <f t="shared" si="83"/>
        <v>957039.25318684755</v>
      </c>
      <c r="AD246" s="355">
        <f t="shared" si="70"/>
        <v>18209447.176833779</v>
      </c>
    </row>
    <row r="247" spans="1:30" s="110" customFormat="1" ht="12">
      <c r="A247" s="107"/>
      <c r="B247" s="58"/>
      <c r="C247" s="108"/>
      <c r="D247" s="208"/>
      <c r="E247" s="216"/>
      <c r="F247" s="109"/>
      <c r="G247" s="109"/>
      <c r="H247" s="109"/>
      <c r="I247" s="109"/>
      <c r="J247" s="109"/>
      <c r="K247" s="109"/>
      <c r="L247" s="109"/>
      <c r="M247" s="109"/>
      <c r="N247" s="109"/>
      <c r="O247" s="109"/>
      <c r="P247" s="109"/>
      <c r="Q247" s="109"/>
      <c r="R247" s="109"/>
      <c r="S247" s="109"/>
      <c r="T247" s="109"/>
      <c r="U247" s="109"/>
      <c r="V247" s="109"/>
      <c r="W247" s="109"/>
      <c r="X247" s="109"/>
      <c r="Y247" s="109"/>
      <c r="Z247" s="109"/>
      <c r="AC247" s="262"/>
      <c r="AD247" s="337"/>
    </row>
    <row r="248" spans="1:30" s="93" customFormat="1" ht="12">
      <c r="A248" s="93" t="s">
        <v>347</v>
      </c>
      <c r="B248" s="58"/>
      <c r="D248" s="211"/>
      <c r="E248" s="222"/>
      <c r="H248" s="92"/>
      <c r="I248" s="92"/>
      <c r="J248" s="92"/>
      <c r="K248" s="92"/>
      <c r="L248" s="92"/>
      <c r="M248" s="92"/>
      <c r="N248" s="92"/>
      <c r="O248" s="92"/>
      <c r="P248" s="92"/>
      <c r="Q248" s="92"/>
      <c r="R248" s="92"/>
      <c r="S248" s="92"/>
      <c r="T248" s="92"/>
      <c r="U248" s="92"/>
      <c r="V248" s="92"/>
      <c r="W248" s="92"/>
      <c r="X248" s="92"/>
      <c r="Y248" s="92"/>
      <c r="AC248" s="273"/>
      <c r="AD248" s="361"/>
    </row>
    <row r="249" spans="1:30" s="93" customFormat="1" ht="12">
      <c r="B249" s="58"/>
      <c r="D249" s="211"/>
      <c r="E249" s="222"/>
      <c r="H249" s="106"/>
      <c r="I249" s="106"/>
      <c r="J249" s="106"/>
      <c r="K249" s="106"/>
      <c r="L249" s="106"/>
      <c r="M249" s="106"/>
      <c r="N249" s="106"/>
      <c r="O249" s="106"/>
      <c r="P249" s="106"/>
      <c r="Q249" s="106"/>
      <c r="R249" s="106"/>
      <c r="S249" s="106"/>
      <c r="T249" s="106"/>
      <c r="U249" s="106"/>
      <c r="V249" s="106"/>
      <c r="W249" s="106"/>
      <c r="X249" s="106"/>
      <c r="Y249" s="106"/>
      <c r="AC249" s="273"/>
      <c r="AD249" s="361"/>
    </row>
    <row r="250" spans="1:30" s="110" customFormat="1" ht="12">
      <c r="A250" s="91"/>
      <c r="B250" s="58"/>
      <c r="C250" s="291" t="s">
        <v>502</v>
      </c>
      <c r="D250" s="211"/>
      <c r="E250" s="290">
        <f>SUM(F250:AC250)</f>
        <v>39933070.584758401</v>
      </c>
      <c r="F250" s="255">
        <f t="shared" ref="F250:AC250" si="84">F5+F6+F54+F66+F73+F93+F100+F127+F140+F170+F183+F246+F186+F203+F208</f>
        <v>-1298775.0765570628</v>
      </c>
      <c r="G250" s="255">
        <f t="shared" si="84"/>
        <v>-5201278.9247171227</v>
      </c>
      <c r="H250" s="255">
        <f t="shared" si="84"/>
        <v>1891058.7200932079</v>
      </c>
      <c r="I250" s="255">
        <f t="shared" si="84"/>
        <v>1882171.9121524966</v>
      </c>
      <c r="J250" s="255">
        <f t="shared" si="84"/>
        <v>2004772.5641964739</v>
      </c>
      <c r="K250" s="255">
        <f t="shared" si="84"/>
        <v>1995200.671820617</v>
      </c>
      <c r="L250" s="255">
        <f t="shared" si="84"/>
        <v>1985696.669770817</v>
      </c>
      <c r="M250" s="255">
        <f t="shared" si="84"/>
        <v>1976253.6574366118</v>
      </c>
      <c r="N250" s="255">
        <f t="shared" si="84"/>
        <v>1993494.4164450937</v>
      </c>
      <c r="O250" s="255">
        <f t="shared" si="84"/>
        <v>2012203.5726231926</v>
      </c>
      <c r="P250" s="255">
        <f t="shared" si="84"/>
        <v>2036801.9923125396</v>
      </c>
      <c r="Q250" s="255">
        <f t="shared" si="84"/>
        <v>2061450.4633961299</v>
      </c>
      <c r="R250" s="255">
        <f t="shared" si="84"/>
        <v>2086192.4565662984</v>
      </c>
      <c r="S250" s="255">
        <f t="shared" si="84"/>
        <v>2110986.2983780792</v>
      </c>
      <c r="T250" s="255">
        <f t="shared" si="84"/>
        <v>2135875.361898466</v>
      </c>
      <c r="U250" s="255">
        <f t="shared" si="84"/>
        <v>2160818.1418520245</v>
      </c>
      <c r="V250" s="255">
        <f t="shared" si="84"/>
        <v>2185857.8706861883</v>
      </c>
      <c r="W250" s="255">
        <f t="shared" si="84"/>
        <v>2210953.2562089851</v>
      </c>
      <c r="X250" s="255">
        <f t="shared" si="84"/>
        <v>2238750.6604854735</v>
      </c>
      <c r="Y250" s="255">
        <f t="shared" si="84"/>
        <v>2261828.8712249738</v>
      </c>
      <c r="Z250" s="255">
        <f t="shared" si="84"/>
        <v>2286288.3255555215</v>
      </c>
      <c r="AA250" s="255">
        <f t="shared" si="84"/>
        <v>2310892.5013236343</v>
      </c>
      <c r="AB250" s="255">
        <f t="shared" si="84"/>
        <v>2335600.2065423331</v>
      </c>
      <c r="AC250" s="268">
        <f t="shared" si="84"/>
        <v>2269975.9950634209</v>
      </c>
      <c r="AD250" s="346">
        <f t="shared" si="70"/>
        <v>39933070.584758401</v>
      </c>
    </row>
    <row r="251" spans="1:30" s="93" customFormat="1" ht="12">
      <c r="A251" s="91"/>
      <c r="B251" s="58"/>
      <c r="C251" s="70" t="s">
        <v>180</v>
      </c>
      <c r="D251" s="211"/>
      <c r="E251" s="218"/>
      <c r="F251" s="106">
        <f>1/1.03</f>
        <v>0.970873786407767</v>
      </c>
      <c r="G251" s="106">
        <f>F251/1.03</f>
        <v>0.94259590913375435</v>
      </c>
      <c r="H251" s="106">
        <f t="shared" ref="H251:AC251" si="85">G251/1.03</f>
        <v>0.9151416593531595</v>
      </c>
      <c r="I251" s="106">
        <f t="shared" si="85"/>
        <v>0.88848704791568878</v>
      </c>
      <c r="J251" s="106">
        <f t="shared" si="85"/>
        <v>0.86260878438416388</v>
      </c>
      <c r="K251" s="106">
        <f t="shared" si="85"/>
        <v>0.83748425668365423</v>
      </c>
      <c r="L251" s="106">
        <f t="shared" si="85"/>
        <v>0.81309151134335356</v>
      </c>
      <c r="M251" s="106">
        <f t="shared" si="85"/>
        <v>0.7894092343139355</v>
      </c>
      <c r="N251" s="106">
        <f t="shared" si="85"/>
        <v>0.76641673234362673</v>
      </c>
      <c r="O251" s="106">
        <f t="shared" si="85"/>
        <v>0.74409391489672494</v>
      </c>
      <c r="P251" s="106">
        <f t="shared" si="85"/>
        <v>0.7224212765987621</v>
      </c>
      <c r="Q251" s="106">
        <f t="shared" si="85"/>
        <v>0.70137988019297293</v>
      </c>
      <c r="R251" s="106">
        <f t="shared" si="85"/>
        <v>0.68095133999317758</v>
      </c>
      <c r="S251" s="106">
        <f t="shared" si="85"/>
        <v>0.66111780581861901</v>
      </c>
      <c r="T251" s="106">
        <f t="shared" si="85"/>
        <v>0.64186194739671742</v>
      </c>
      <c r="U251" s="106">
        <f t="shared" si="85"/>
        <v>0.62316693922011401</v>
      </c>
      <c r="V251" s="106">
        <f t="shared" si="85"/>
        <v>0.60501644584477088</v>
      </c>
      <c r="W251" s="106">
        <f t="shared" si="85"/>
        <v>0.58739460761628237</v>
      </c>
      <c r="X251" s="106">
        <f t="shared" si="85"/>
        <v>0.57028602681192464</v>
      </c>
      <c r="Y251" s="106">
        <f t="shared" si="85"/>
        <v>0.55367575418633463</v>
      </c>
      <c r="Z251" s="106">
        <f t="shared" si="85"/>
        <v>0.53754927590906276</v>
      </c>
      <c r="AA251" s="106">
        <f t="shared" si="85"/>
        <v>0.52189250088258521</v>
      </c>
      <c r="AB251" s="106">
        <f t="shared" si="85"/>
        <v>0.50669174842969433</v>
      </c>
      <c r="AC251" s="274">
        <f t="shared" si="85"/>
        <v>0.49193373633950904</v>
      </c>
      <c r="AD251" s="362"/>
    </row>
    <row r="252" spans="1:30" s="110" customFormat="1" ht="12">
      <c r="A252" s="107"/>
      <c r="B252" s="58"/>
      <c r="C252" s="108" t="s">
        <v>178</v>
      </c>
      <c r="D252" s="208"/>
      <c r="E252" s="216">
        <f>SUM(F252:AC252)</f>
        <v>25175596.478676051</v>
      </c>
      <c r="F252" s="109">
        <f>F250*F251</f>
        <v>-1260946.6762689929</v>
      </c>
      <c r="G252" s="109">
        <f t="shared" ref="G252:AC252" si="86">G250*G251</f>
        <v>-4902704.2367019728</v>
      </c>
      <c r="H252" s="109">
        <f t="shared" si="86"/>
        <v>1730586.6150403603</v>
      </c>
      <c r="I252" s="109">
        <f t="shared" si="86"/>
        <v>1672285.3658981989</v>
      </c>
      <c r="J252" s="109">
        <f t="shared" si="86"/>
        <v>1729334.4245682436</v>
      </c>
      <c r="K252" s="109">
        <f t="shared" si="86"/>
        <v>1670949.151574417</v>
      </c>
      <c r="L252" s="109">
        <f t="shared" si="86"/>
        <v>1614553.1062934177</v>
      </c>
      <c r="M252" s="109">
        <f t="shared" si="86"/>
        <v>1560072.8865271504</v>
      </c>
      <c r="N252" s="109">
        <f t="shared" si="86"/>
        <v>1527847.4765971138</v>
      </c>
      <c r="O252" s="109">
        <f t="shared" si="86"/>
        <v>1497268.4339223676</v>
      </c>
      <c r="P252" s="109">
        <f t="shared" si="86"/>
        <v>1471429.0954653269</v>
      </c>
      <c r="Q252" s="109">
        <f t="shared" si="86"/>
        <v>1445859.879040526</v>
      </c>
      <c r="R252" s="109">
        <f t="shared" si="86"/>
        <v>1420595.5487824797</v>
      </c>
      <c r="S252" s="109">
        <f t="shared" si="86"/>
        <v>1395610.6296968842</v>
      </c>
      <c r="T252" s="109">
        <f t="shared" si="86"/>
        <v>1370937.1191848179</v>
      </c>
      <c r="U252" s="109">
        <f t="shared" si="86"/>
        <v>1346550.4276692201</v>
      </c>
      <c r="V252" s="109">
        <f t="shared" si="86"/>
        <v>1322479.9600443766</v>
      </c>
      <c r="W252" s="109">
        <f t="shared" si="86"/>
        <v>1298702.0203888186</v>
      </c>
      <c r="X252" s="109">
        <f t="shared" si="86"/>
        <v>1276728.2191908327</v>
      </c>
      <c r="Y252" s="109">
        <f t="shared" si="86"/>
        <v>1252319.8061159134</v>
      </c>
      <c r="Z252" s="109">
        <f t="shared" si="86"/>
        <v>1228992.6339217143</v>
      </c>
      <c r="AA252" s="109">
        <f t="shared" si="86"/>
        <v>1206037.4667866044</v>
      </c>
      <c r="AB252" s="109">
        <f t="shared" si="86"/>
        <v>1183429.3522856899</v>
      </c>
      <c r="AC252" s="392">
        <f t="shared" si="86"/>
        <v>1116677.7726525436</v>
      </c>
      <c r="AD252" s="363">
        <f t="shared" si="70"/>
        <v>25175596.478676051</v>
      </c>
    </row>
    <row r="253" spans="1:30" s="110" customFormat="1" ht="12">
      <c r="A253" s="91"/>
      <c r="B253" s="58"/>
      <c r="C253" s="70" t="s">
        <v>181</v>
      </c>
      <c r="D253" s="211"/>
      <c r="E253" s="218"/>
      <c r="F253" s="106">
        <f>1/1.07</f>
        <v>0.93457943925233644</v>
      </c>
      <c r="G253" s="106">
        <f>F253/1.07</f>
        <v>0.87343872827321156</v>
      </c>
      <c r="H253" s="106">
        <f t="shared" ref="H253:AC253" si="87">G253/1.07</f>
        <v>0.81629787689085187</v>
      </c>
      <c r="I253" s="106">
        <f t="shared" si="87"/>
        <v>0.76289521204752508</v>
      </c>
      <c r="J253" s="106">
        <f t="shared" si="87"/>
        <v>0.71298617948366827</v>
      </c>
      <c r="K253" s="106">
        <f t="shared" si="87"/>
        <v>0.66634222381651231</v>
      </c>
      <c r="L253" s="106">
        <f t="shared" si="87"/>
        <v>0.62274974188459087</v>
      </c>
      <c r="M253" s="106">
        <f t="shared" si="87"/>
        <v>0.58200910456503818</v>
      </c>
      <c r="N253" s="106">
        <f t="shared" si="87"/>
        <v>0.54393374258414784</v>
      </c>
      <c r="O253" s="106">
        <f t="shared" si="87"/>
        <v>0.50834929213471758</v>
      </c>
      <c r="P253" s="106">
        <f t="shared" si="87"/>
        <v>0.4750927963875865</v>
      </c>
      <c r="Q253" s="106">
        <f t="shared" si="87"/>
        <v>0.444011959240735</v>
      </c>
      <c r="R253" s="106">
        <f t="shared" si="87"/>
        <v>0.41496444788853737</v>
      </c>
      <c r="S253" s="106">
        <f t="shared" si="87"/>
        <v>0.38781724101732462</v>
      </c>
      <c r="T253" s="106">
        <f t="shared" si="87"/>
        <v>0.36244601964235945</v>
      </c>
      <c r="U253" s="106">
        <f t="shared" si="87"/>
        <v>0.33873459779659759</v>
      </c>
      <c r="V253" s="106">
        <f t="shared" si="87"/>
        <v>0.3165743904641099</v>
      </c>
      <c r="W253" s="106">
        <f t="shared" si="87"/>
        <v>0.29586391632159803</v>
      </c>
      <c r="X253" s="106">
        <f t="shared" si="87"/>
        <v>0.27650833301083927</v>
      </c>
      <c r="Y253" s="106">
        <f t="shared" si="87"/>
        <v>0.25841900281386848</v>
      </c>
      <c r="Z253" s="106">
        <f t="shared" si="87"/>
        <v>0.24151308674193314</v>
      </c>
      <c r="AA253" s="106">
        <f t="shared" si="87"/>
        <v>0.22571316517937676</v>
      </c>
      <c r="AB253" s="106">
        <f t="shared" si="87"/>
        <v>0.21094688334521192</v>
      </c>
      <c r="AC253" s="274">
        <f t="shared" si="87"/>
        <v>0.19714661994879618</v>
      </c>
      <c r="AD253" s="362"/>
    </row>
    <row r="254" spans="1:30" s="110" customFormat="1" ht="12">
      <c r="A254" s="107"/>
      <c r="B254" s="58"/>
      <c r="C254" s="108" t="s">
        <v>179</v>
      </c>
      <c r="D254" s="208"/>
      <c r="E254" s="216">
        <f>SUM(F254:AC254)</f>
        <v>14112711.022096159</v>
      </c>
      <c r="F254" s="109">
        <f>F250*F253</f>
        <v>-1213808.4827636101</v>
      </c>
      <c r="G254" s="109">
        <f t="shared" ref="G254:AC254" si="88">G250*G253</f>
        <v>-4542998.4493991807</v>
      </c>
      <c r="H254" s="109">
        <f t="shared" si="88"/>
        <v>1543667.2182880174</v>
      </c>
      <c r="I254" s="109">
        <f t="shared" si="88"/>
        <v>1435899.9400314747</v>
      </c>
      <c r="J254" s="109">
        <f t="shared" si="88"/>
        <v>1429375.1312801209</v>
      </c>
      <c r="K254" s="109">
        <f t="shared" si="88"/>
        <v>1329486.4526211494</v>
      </c>
      <c r="L254" s="109">
        <f t="shared" si="88"/>
        <v>1236592.0885608681</v>
      </c>
      <c r="M254" s="109">
        <f t="shared" si="88"/>
        <v>1150197.6215580641</v>
      </c>
      <c r="N254" s="109">
        <f t="shared" si="88"/>
        <v>1084328.8787575816</v>
      </c>
      <c r="O254" s="109">
        <f t="shared" si="88"/>
        <v>1022902.2617739497</v>
      </c>
      <c r="P254" s="109">
        <f t="shared" si="88"/>
        <v>967669.95421557187</v>
      </c>
      <c r="Q254" s="109">
        <f t="shared" si="88"/>
        <v>915308.65913023672</v>
      </c>
      <c r="R254" s="109">
        <f t="shared" si="88"/>
        <v>865695.70092826546</v>
      </c>
      <c r="S254" s="109">
        <f t="shared" si="88"/>
        <v>818676.88206236146</v>
      </c>
      <c r="T254" s="109">
        <f t="shared" si="88"/>
        <v>774139.52337228297</v>
      </c>
      <c r="U254" s="109">
        <f t="shared" si="88"/>
        <v>731943.86419183691</v>
      </c>
      <c r="V254" s="109">
        <f t="shared" si="88"/>
        <v>691986.62305365724</v>
      </c>
      <c r="W254" s="109">
        <f t="shared" si="88"/>
        <v>654141.28918597987</v>
      </c>
      <c r="X254" s="109">
        <f t="shared" si="88"/>
        <v>619033.21315775369</v>
      </c>
      <c r="Y254" s="109">
        <f t="shared" si="88"/>
        <v>584499.5614375755</v>
      </c>
      <c r="Z254" s="109">
        <f t="shared" si="88"/>
        <v>552168.55068695976</v>
      </c>
      <c r="AA254" s="109">
        <f t="shared" si="88"/>
        <v>521598.86086304457</v>
      </c>
      <c r="AB254" s="109">
        <f t="shared" si="88"/>
        <v>492687.58431053843</v>
      </c>
      <c r="AC254" s="392">
        <f t="shared" si="88"/>
        <v>447518.09479165863</v>
      </c>
      <c r="AD254" s="363">
        <f t="shared" si="70"/>
        <v>14112711.022096159</v>
      </c>
    </row>
    <row r="255" spans="1:30" s="53" customFormat="1" ht="12">
      <c r="A255" s="107"/>
      <c r="B255" s="58"/>
      <c r="C255" s="108"/>
      <c r="D255" s="208"/>
      <c r="E255" s="216"/>
      <c r="F255" s="109"/>
      <c r="G255" s="109"/>
      <c r="AC255" s="263"/>
      <c r="AD255" s="338"/>
    </row>
    <row r="256" spans="1:30" s="53" customFormat="1" ht="12">
      <c r="A256" s="45"/>
      <c r="B256" s="58"/>
      <c r="C256" s="282" t="s">
        <v>185</v>
      </c>
      <c r="D256" s="213"/>
      <c r="E256" s="303">
        <f>IRR(F250:AC250)</f>
        <v>0.28523992192725861</v>
      </c>
      <c r="F256" s="45"/>
      <c r="G256" s="57"/>
      <c r="AC256" s="263"/>
      <c r="AD256" s="338"/>
    </row>
    <row r="257" spans="1:30" s="113" customFormat="1" ht="12">
      <c r="A257" s="111"/>
      <c r="B257" s="58"/>
      <c r="C257" s="115"/>
      <c r="D257" s="117"/>
      <c r="E257" s="111"/>
      <c r="F257" s="112"/>
      <c r="G257" s="112"/>
      <c r="H257" s="112"/>
      <c r="I257" s="112"/>
      <c r="J257" s="112"/>
      <c r="K257" s="112"/>
      <c r="L257" s="112"/>
      <c r="M257" s="112"/>
      <c r="N257" s="112"/>
      <c r="O257" s="112"/>
      <c r="P257" s="112"/>
      <c r="Q257" s="112"/>
      <c r="R257" s="112"/>
      <c r="S257" s="112"/>
      <c r="T257" s="112"/>
      <c r="U257" s="112"/>
      <c r="V257" s="112"/>
      <c r="W257" s="112"/>
      <c r="X257" s="112"/>
      <c r="Y257" s="112"/>
      <c r="AC257" s="275"/>
      <c r="AD257" s="364"/>
    </row>
    <row r="258" spans="1:30" s="113" customFormat="1" ht="12">
      <c r="A258" s="111"/>
      <c r="B258" s="58"/>
      <c r="C258" s="118"/>
      <c r="D258" s="117"/>
      <c r="E258" s="111"/>
      <c r="F258" s="111"/>
      <c r="G258" s="114"/>
      <c r="AC258" s="275"/>
      <c r="AD258" s="364"/>
    </row>
    <row r="259" spans="1:30">
      <c r="A259" s="25"/>
      <c r="B259" s="25"/>
      <c r="C259" s="52"/>
      <c r="D259" s="42"/>
      <c r="E259" s="42"/>
      <c r="F259" s="42"/>
    </row>
    <row r="260" spans="1:30">
      <c r="A260" s="25"/>
      <c r="B260" s="25"/>
      <c r="C260" s="52"/>
      <c r="D260" s="42"/>
      <c r="E260" s="42"/>
      <c r="F260" s="42"/>
    </row>
    <row r="261" spans="1:30">
      <c r="A261" s="25"/>
      <c r="B261" s="25"/>
      <c r="C261" s="52"/>
      <c r="D261" s="42"/>
      <c r="E261" s="42"/>
      <c r="F261" s="42"/>
    </row>
    <row r="262" spans="1:30" ht="15.75">
      <c r="A262" s="25"/>
      <c r="B262" s="25"/>
      <c r="C262" s="401" t="s">
        <v>1</v>
      </c>
      <c r="D262" s="418">
        <f>SUM(D263:D266)</f>
        <v>23765.884353232683</v>
      </c>
      <c r="E262" s="42"/>
      <c r="F262" s="42"/>
      <c r="G262" s="42"/>
      <c r="H262" s="42"/>
      <c r="I262" s="42"/>
      <c r="J262" s="42"/>
      <c r="K262" s="42"/>
      <c r="L262" s="42"/>
      <c r="M262" s="42"/>
      <c r="N262" s="42"/>
      <c r="O262" s="42"/>
      <c r="P262" s="42"/>
      <c r="Q262" s="42"/>
      <c r="R262" s="42"/>
      <c r="S262" s="42"/>
      <c r="T262" s="42"/>
      <c r="U262" s="42"/>
      <c r="V262" s="42"/>
      <c r="W262" s="42"/>
      <c r="X262" s="42"/>
      <c r="Y262" s="42"/>
      <c r="Z262" s="42"/>
      <c r="AA262" s="42"/>
      <c r="AB262" s="42"/>
      <c r="AC262" s="42"/>
    </row>
    <row r="263" spans="1:30" ht="15.75">
      <c r="A263" s="25"/>
      <c r="B263" s="25"/>
      <c r="C263" s="403" t="s">
        <v>196</v>
      </c>
      <c r="D263" s="416">
        <f>-SUM(F263:AC263)/1000</f>
        <v>6838.8787400000001</v>
      </c>
      <c r="F263" s="422">
        <f>F6</f>
        <v>-1146378.74</v>
      </c>
      <c r="G263" s="422">
        <f t="shared" ref="G263:AC263" si="89">G6</f>
        <v>-5692500</v>
      </c>
      <c r="H263" s="422">
        <f t="shared" si="89"/>
        <v>0</v>
      </c>
      <c r="I263" s="422">
        <f t="shared" si="89"/>
        <v>0</v>
      </c>
      <c r="J263" s="422">
        <f t="shared" si="89"/>
        <v>0</v>
      </c>
      <c r="K263" s="422">
        <f t="shared" si="89"/>
        <v>0</v>
      </c>
      <c r="L263" s="422">
        <f t="shared" si="89"/>
        <v>0</v>
      </c>
      <c r="M263" s="422">
        <f t="shared" si="89"/>
        <v>0</v>
      </c>
      <c r="N263" s="422">
        <f t="shared" si="89"/>
        <v>0</v>
      </c>
      <c r="O263" s="422">
        <f t="shared" si="89"/>
        <v>0</v>
      </c>
      <c r="P263" s="422">
        <f t="shared" si="89"/>
        <v>0</v>
      </c>
      <c r="Q263" s="422">
        <f t="shared" si="89"/>
        <v>0</v>
      </c>
      <c r="R263" s="422">
        <f t="shared" si="89"/>
        <v>0</v>
      </c>
      <c r="S263" s="422">
        <f t="shared" si="89"/>
        <v>0</v>
      </c>
      <c r="T263" s="422">
        <f t="shared" si="89"/>
        <v>0</v>
      </c>
      <c r="U263" s="422">
        <f t="shared" si="89"/>
        <v>0</v>
      </c>
      <c r="V263" s="422">
        <f t="shared" si="89"/>
        <v>0</v>
      </c>
      <c r="W263" s="422">
        <f t="shared" si="89"/>
        <v>0</v>
      </c>
      <c r="X263" s="422">
        <f t="shared" si="89"/>
        <v>0</v>
      </c>
      <c r="Y263" s="422">
        <f t="shared" si="89"/>
        <v>0</v>
      </c>
      <c r="Z263" s="422">
        <f t="shared" si="89"/>
        <v>0</v>
      </c>
      <c r="AA263" s="422">
        <f t="shared" si="89"/>
        <v>0</v>
      </c>
      <c r="AB263" s="422">
        <f t="shared" si="89"/>
        <v>0</v>
      </c>
      <c r="AC263" s="422">
        <f t="shared" si="89"/>
        <v>0</v>
      </c>
    </row>
    <row r="264" spans="1:30" ht="15.75">
      <c r="A264" s="25"/>
      <c r="B264" s="25"/>
      <c r="C264" s="403" t="s">
        <v>197</v>
      </c>
      <c r="D264" s="416">
        <f>-SUM(F264:AC264)/1000</f>
        <v>0</v>
      </c>
      <c r="E264" s="42"/>
      <c r="F264" s="422">
        <f>F5</f>
        <v>0</v>
      </c>
      <c r="G264" s="422">
        <f t="shared" ref="G264:AC264" si="90">G5</f>
        <v>0</v>
      </c>
      <c r="H264" s="422">
        <f t="shared" si="90"/>
        <v>0</v>
      </c>
      <c r="I264" s="422">
        <f t="shared" si="90"/>
        <v>0</v>
      </c>
      <c r="J264" s="422">
        <f t="shared" si="90"/>
        <v>0</v>
      </c>
      <c r="K264" s="422">
        <f t="shared" si="90"/>
        <v>0</v>
      </c>
      <c r="L264" s="422">
        <f t="shared" si="90"/>
        <v>0</v>
      </c>
      <c r="M264" s="422">
        <f t="shared" si="90"/>
        <v>0</v>
      </c>
      <c r="N264" s="422">
        <f t="shared" si="90"/>
        <v>0</v>
      </c>
      <c r="O264" s="422">
        <f t="shared" si="90"/>
        <v>0</v>
      </c>
      <c r="P264" s="422">
        <f t="shared" si="90"/>
        <v>0</v>
      </c>
      <c r="Q264" s="422">
        <f t="shared" si="90"/>
        <v>0</v>
      </c>
      <c r="R264" s="422">
        <f t="shared" si="90"/>
        <v>0</v>
      </c>
      <c r="S264" s="422">
        <f t="shared" si="90"/>
        <v>0</v>
      </c>
      <c r="T264" s="422">
        <f t="shared" si="90"/>
        <v>0</v>
      </c>
      <c r="U264" s="422">
        <f t="shared" si="90"/>
        <v>0</v>
      </c>
      <c r="V264" s="422">
        <f t="shared" si="90"/>
        <v>0</v>
      </c>
      <c r="W264" s="422">
        <f t="shared" si="90"/>
        <v>0</v>
      </c>
      <c r="X264" s="422">
        <f t="shared" si="90"/>
        <v>0</v>
      </c>
      <c r="Y264" s="422">
        <f t="shared" si="90"/>
        <v>0</v>
      </c>
      <c r="Z264" s="422">
        <f t="shared" si="90"/>
        <v>0</v>
      </c>
      <c r="AA264" s="422">
        <f t="shared" si="90"/>
        <v>0</v>
      </c>
      <c r="AB264" s="422">
        <f t="shared" si="90"/>
        <v>0</v>
      </c>
      <c r="AC264" s="422">
        <f t="shared" si="90"/>
        <v>0</v>
      </c>
    </row>
    <row r="265" spans="1:30" ht="15.75">
      <c r="A265" s="25"/>
      <c r="B265" s="25"/>
      <c r="C265" s="404" t="s">
        <v>546</v>
      </c>
      <c r="D265" s="416">
        <f>-SUM(F265:AC265)/1000</f>
        <v>304.79267311412582</v>
      </c>
      <c r="E265" s="42"/>
      <c r="F265" s="422">
        <f>F181</f>
        <v>-152396.3365570629</v>
      </c>
      <c r="G265" s="422">
        <f t="shared" ref="G265:AC265" si="91">G181</f>
        <v>-152396.3365570629</v>
      </c>
      <c r="H265" s="422">
        <f t="shared" si="91"/>
        <v>0</v>
      </c>
      <c r="I265" s="422">
        <f t="shared" si="91"/>
        <v>0</v>
      </c>
      <c r="J265" s="422">
        <f t="shared" si="91"/>
        <v>0</v>
      </c>
      <c r="K265" s="422">
        <f t="shared" si="91"/>
        <v>0</v>
      </c>
      <c r="L265" s="422">
        <f t="shared" si="91"/>
        <v>0</v>
      </c>
      <c r="M265" s="422">
        <f t="shared" si="91"/>
        <v>0</v>
      </c>
      <c r="N265" s="422">
        <f t="shared" si="91"/>
        <v>0</v>
      </c>
      <c r="O265" s="422">
        <f t="shared" si="91"/>
        <v>0</v>
      </c>
      <c r="P265" s="422">
        <f t="shared" si="91"/>
        <v>0</v>
      </c>
      <c r="Q265" s="422">
        <f t="shared" si="91"/>
        <v>0</v>
      </c>
      <c r="R265" s="422">
        <f t="shared" si="91"/>
        <v>0</v>
      </c>
      <c r="S265" s="422">
        <f t="shared" si="91"/>
        <v>0</v>
      </c>
      <c r="T265" s="422">
        <f t="shared" si="91"/>
        <v>0</v>
      </c>
      <c r="U265" s="422">
        <f t="shared" si="91"/>
        <v>0</v>
      </c>
      <c r="V265" s="422">
        <f t="shared" si="91"/>
        <v>0</v>
      </c>
      <c r="W265" s="422">
        <f t="shared" si="91"/>
        <v>0</v>
      </c>
      <c r="X265" s="422">
        <f t="shared" si="91"/>
        <v>0</v>
      </c>
      <c r="Y265" s="422">
        <f t="shared" si="91"/>
        <v>0</v>
      </c>
      <c r="Z265" s="422">
        <f t="shared" si="91"/>
        <v>0</v>
      </c>
      <c r="AA265" s="422">
        <f t="shared" si="91"/>
        <v>0</v>
      </c>
      <c r="AB265" s="422">
        <f t="shared" si="91"/>
        <v>0</v>
      </c>
      <c r="AC265" s="422">
        <f t="shared" si="91"/>
        <v>0</v>
      </c>
    </row>
    <row r="266" spans="1:30" ht="15.75">
      <c r="A266" s="25"/>
      <c r="B266" s="25"/>
      <c r="C266" s="403" t="s">
        <v>198</v>
      </c>
      <c r="D266" s="416">
        <f>-SUM(F266:AC266)/1000</f>
        <v>16622.212940118556</v>
      </c>
      <c r="E266" s="43"/>
      <c r="F266" s="422">
        <f>F215+F217+F228+F230</f>
        <v>0</v>
      </c>
      <c r="G266" s="422">
        <f t="shared" ref="G266:AC266" si="92">G215+G217+G228+G230</f>
        <v>-552310.67063861177</v>
      </c>
      <c r="H266" s="422">
        <f t="shared" si="92"/>
        <v>-661584.5479596433</v>
      </c>
      <c r="I266" s="422">
        <f t="shared" si="92"/>
        <v>-666435.71937261079</v>
      </c>
      <c r="J266" s="422">
        <f t="shared" si="92"/>
        <v>-671342.67416331312</v>
      </c>
      <c r="K266" s="422">
        <f t="shared" si="92"/>
        <v>-676305.97016552696</v>
      </c>
      <c r="L266" s="422">
        <f t="shared" si="92"/>
        <v>-681326.170791368</v>
      </c>
      <c r="M266" s="422">
        <f t="shared" si="92"/>
        <v>-686403.84508707211</v>
      </c>
      <c r="N266" s="422">
        <f t="shared" si="92"/>
        <v>-693743.27012289339</v>
      </c>
      <c r="O266" s="422">
        <f t="shared" si="92"/>
        <v>-701141.32404934173</v>
      </c>
      <c r="P266" s="422">
        <f t="shared" si="92"/>
        <v>-708598.59315532411</v>
      </c>
      <c r="Q266" s="422">
        <f t="shared" si="92"/>
        <v>-716115.66959263547</v>
      </c>
      <c r="R266" s="422">
        <f t="shared" si="92"/>
        <v>-723693.15143458918</v>
      </c>
      <c r="S266" s="422">
        <f t="shared" si="92"/>
        <v>-731331.6427352319</v>
      </c>
      <c r="T266" s="422">
        <f t="shared" si="92"/>
        <v>-739031.75358915026</v>
      </c>
      <c r="U266" s="422">
        <f t="shared" si="92"/>
        <v>-746794.10019187699</v>
      </c>
      <c r="V266" s="422">
        <f t="shared" si="92"/>
        <v>-754619.30490090034</v>
      </c>
      <c r="W266" s="422">
        <f t="shared" si="92"/>
        <v>-762507.9962972831</v>
      </c>
      <c r="X266" s="422">
        <f t="shared" si="92"/>
        <v>-770678.90380776511</v>
      </c>
      <c r="Y266" s="422">
        <f t="shared" si="92"/>
        <v>-778914.57408802235</v>
      </c>
      <c r="Z266" s="422">
        <f t="shared" si="92"/>
        <v>-787215.65476575284</v>
      </c>
      <c r="AA266" s="422">
        <f t="shared" si="92"/>
        <v>-795582.79994493141</v>
      </c>
      <c r="AB266" s="422">
        <f t="shared" si="92"/>
        <v>-804016.67027057242</v>
      </c>
      <c r="AC266" s="422">
        <f t="shared" si="92"/>
        <v>-812517.9329941402</v>
      </c>
    </row>
    <row r="267" spans="1:30" ht="15.75">
      <c r="A267" s="25"/>
      <c r="B267" s="25"/>
      <c r="C267" s="402"/>
      <c r="D267" s="417"/>
      <c r="F267" s="414">
        <f>SUM(F263:F266)</f>
        <v>-1298775.0765570628</v>
      </c>
      <c r="G267" s="414">
        <f t="shared" ref="G267:AC267" si="93">SUM(G263:G266)</f>
        <v>-6397207.0071956748</v>
      </c>
      <c r="H267" s="414">
        <f t="shared" si="93"/>
        <v>-661584.5479596433</v>
      </c>
      <c r="I267" s="414">
        <f t="shared" si="93"/>
        <v>-666435.71937261079</v>
      </c>
      <c r="J267" s="414">
        <f t="shared" si="93"/>
        <v>-671342.67416331312</v>
      </c>
      <c r="K267" s="414">
        <f t="shared" si="93"/>
        <v>-676305.97016552696</v>
      </c>
      <c r="L267" s="414">
        <f t="shared" si="93"/>
        <v>-681326.170791368</v>
      </c>
      <c r="M267" s="414">
        <f t="shared" si="93"/>
        <v>-686403.84508707211</v>
      </c>
      <c r="N267" s="414">
        <f t="shared" si="93"/>
        <v>-693743.27012289339</v>
      </c>
      <c r="O267" s="414">
        <f t="shared" si="93"/>
        <v>-701141.32404934173</v>
      </c>
      <c r="P267" s="414">
        <f t="shared" si="93"/>
        <v>-708598.59315532411</v>
      </c>
      <c r="Q267" s="414">
        <f t="shared" si="93"/>
        <v>-716115.66959263547</v>
      </c>
      <c r="R267" s="414">
        <f t="shared" si="93"/>
        <v>-723693.15143458918</v>
      </c>
      <c r="S267" s="414">
        <f t="shared" si="93"/>
        <v>-731331.6427352319</v>
      </c>
      <c r="T267" s="414">
        <f t="shared" si="93"/>
        <v>-739031.75358915026</v>
      </c>
      <c r="U267" s="414">
        <f t="shared" si="93"/>
        <v>-746794.10019187699</v>
      </c>
      <c r="V267" s="414">
        <f t="shared" si="93"/>
        <v>-754619.30490090034</v>
      </c>
      <c r="W267" s="414">
        <f t="shared" si="93"/>
        <v>-762507.9962972831</v>
      </c>
      <c r="X267" s="414">
        <f t="shared" si="93"/>
        <v>-770678.90380776511</v>
      </c>
      <c r="Y267" s="414">
        <f t="shared" si="93"/>
        <v>-778914.57408802235</v>
      </c>
      <c r="Z267" s="414">
        <f t="shared" si="93"/>
        <v>-787215.65476575284</v>
      </c>
      <c r="AA267" s="414">
        <f t="shared" si="93"/>
        <v>-795582.79994493141</v>
      </c>
      <c r="AB267" s="414">
        <f t="shared" si="93"/>
        <v>-804016.67027057242</v>
      </c>
      <c r="AC267" s="414">
        <f t="shared" si="93"/>
        <v>-812517.9329941402</v>
      </c>
    </row>
    <row r="268" spans="1:30" ht="15.75">
      <c r="A268" s="25"/>
      <c r="B268" s="25"/>
      <c r="C268" s="401" t="s">
        <v>0</v>
      </c>
      <c r="D268" s="418">
        <f>SUM(D269:D275)</f>
        <v>63802.673550632979</v>
      </c>
      <c r="G268" s="25"/>
      <c r="H268" s="25"/>
      <c r="I268" s="25"/>
      <c r="J268" s="25"/>
      <c r="K268" s="25"/>
      <c r="L268" s="25"/>
      <c r="M268" s="25"/>
      <c r="N268" s="25"/>
      <c r="O268" s="25"/>
      <c r="P268" s="25"/>
      <c r="Q268" s="25"/>
      <c r="R268" s="25"/>
      <c r="S268" s="25"/>
      <c r="T268" s="25"/>
      <c r="U268" s="25"/>
      <c r="V268" s="25"/>
      <c r="W268" s="25"/>
      <c r="X268" s="25"/>
      <c r="Y268" s="25"/>
      <c r="Z268" s="25"/>
      <c r="AA268" s="25"/>
      <c r="AB268" s="25"/>
      <c r="AC268" s="25"/>
    </row>
    <row r="269" spans="1:30" ht="15.75">
      <c r="A269" s="25"/>
      <c r="B269" s="25"/>
      <c r="C269" s="403" t="s">
        <v>577</v>
      </c>
      <c r="D269" s="416">
        <f t="shared" ref="D269:D275" si="94">SUM(F269:AC269)/1000</f>
        <v>-2991.2901464524493</v>
      </c>
      <c r="F269" s="423">
        <f>F54+F66+F80+F93+F127</f>
        <v>0</v>
      </c>
      <c r="G269" s="423">
        <f t="shared" ref="G269:AC269" si="95">G54+G66+G80+G93+G127</f>
        <v>-52795.380136533844</v>
      </c>
      <c r="H269" s="423">
        <f t="shared" si="95"/>
        <v>-251848.15110457552</v>
      </c>
      <c r="I269" s="423">
        <f t="shared" si="95"/>
        <v>-250412.3582922091</v>
      </c>
      <c r="J269" s="423">
        <f t="shared" si="95"/>
        <v>-117701.10843346454</v>
      </c>
      <c r="K269" s="423">
        <f t="shared" si="95"/>
        <v>-117212.88817994008</v>
      </c>
      <c r="L269" s="423">
        <f t="shared" si="95"/>
        <v>-116731.92570244262</v>
      </c>
      <c r="M269" s="423">
        <f t="shared" si="95"/>
        <v>-116258.27308752928</v>
      </c>
      <c r="N269" s="423">
        <f t="shared" si="95"/>
        <v>-117115.68051627409</v>
      </c>
      <c r="O269" s="423">
        <f t="shared" si="95"/>
        <v>-117957.8448969109</v>
      </c>
      <c r="P269" s="423">
        <f t="shared" si="95"/>
        <v>-118784.57863302168</v>
      </c>
      <c r="Q269" s="423">
        <f t="shared" si="95"/>
        <v>-119595.69093088167</v>
      </c>
      <c r="R269" s="423">
        <f t="shared" si="95"/>
        <v>-120390.98773440838</v>
      </c>
      <c r="S269" s="423">
        <f t="shared" si="95"/>
        <v>-121170.27165860662</v>
      </c>
      <c r="T269" s="423">
        <f t="shared" si="95"/>
        <v>-121933.34192146987</v>
      </c>
      <c r="U269" s="423">
        <f t="shared" si="95"/>
        <v>-122679.99427429884</v>
      </c>
      <c r="V269" s="423">
        <f t="shared" si="95"/>
        <v>-123410.02093039491</v>
      </c>
      <c r="W269" s="423">
        <f t="shared" si="95"/>
        <v>-124123.21049208548</v>
      </c>
      <c r="X269" s="423">
        <f t="shared" si="95"/>
        <v>-124938.77165571022</v>
      </c>
      <c r="Y269" s="423">
        <f t="shared" si="95"/>
        <v>-125734.6529453106</v>
      </c>
      <c r="Z269" s="423">
        <f t="shared" si="95"/>
        <v>-126510.60518579232</v>
      </c>
      <c r="AA269" s="423">
        <f t="shared" si="95"/>
        <v>-127266.37489179439</v>
      </c>
      <c r="AB269" s="423">
        <f t="shared" si="95"/>
        <v>-128001.70417849412</v>
      </c>
      <c r="AC269" s="423">
        <f t="shared" si="95"/>
        <v>-128716.33067030006</v>
      </c>
    </row>
    <row r="270" spans="1:30" ht="15.75">
      <c r="A270" s="25"/>
      <c r="B270" s="25"/>
      <c r="C270" s="403" t="s">
        <v>578</v>
      </c>
      <c r="D270" s="416">
        <f t="shared" si="94"/>
        <v>15866.761091300117</v>
      </c>
      <c r="F270" s="422">
        <f>F73+F100+F140</f>
        <v>0</v>
      </c>
      <c r="G270" s="422">
        <f t="shared" ref="G270:AC270" si="96">G73+G100+G140</f>
        <v>407671.65864450234</v>
      </c>
      <c r="H270" s="422">
        <f t="shared" si="96"/>
        <v>642639.64885641844</v>
      </c>
      <c r="I270" s="422">
        <f t="shared" si="96"/>
        <v>645138.86639138125</v>
      </c>
      <c r="J270" s="422">
        <f t="shared" si="96"/>
        <v>647679.2587638672</v>
      </c>
      <c r="K270" s="422">
        <f t="shared" si="96"/>
        <v>650261.23772225133</v>
      </c>
      <c r="L270" s="422">
        <f t="shared" si="96"/>
        <v>652885.21913239267</v>
      </c>
      <c r="M270" s="422">
        <f t="shared" si="96"/>
        <v>655551.62301880924</v>
      </c>
      <c r="N270" s="422">
        <f t="shared" si="96"/>
        <v>663165.0842976307</v>
      </c>
      <c r="O270" s="422">
        <f t="shared" si="96"/>
        <v>670821.82074450003</v>
      </c>
      <c r="P270" s="422">
        <f t="shared" si="96"/>
        <v>678522.26511109783</v>
      </c>
      <c r="Q270" s="422">
        <f t="shared" si="96"/>
        <v>686266.85447662149</v>
      </c>
      <c r="R270" s="422">
        <f t="shared" si="96"/>
        <v>694056.0302910601</v>
      </c>
      <c r="S270" s="422">
        <f t="shared" si="96"/>
        <v>701890.23841890297</v>
      </c>
      <c r="T270" s="422">
        <f t="shared" si="96"/>
        <v>709769.92918328405</v>
      </c>
      <c r="U270" s="422">
        <f t="shared" si="96"/>
        <v>717695.5574105687</v>
      </c>
      <c r="V270" s="422">
        <f t="shared" si="96"/>
        <v>725667.58247538609</v>
      </c>
      <c r="W270" s="422">
        <f t="shared" si="96"/>
        <v>733686.46834611124</v>
      </c>
      <c r="X270" s="422">
        <f t="shared" si="96"/>
        <v>742238.04032164963</v>
      </c>
      <c r="Y270" s="422">
        <f t="shared" si="96"/>
        <v>750837.41500529461</v>
      </c>
      <c r="Z270" s="422">
        <f t="shared" si="96"/>
        <v>759485.07042412739</v>
      </c>
      <c r="AA270" s="422">
        <f t="shared" si="96"/>
        <v>768181.48938549985</v>
      </c>
      <c r="AB270" s="422">
        <f t="shared" si="96"/>
        <v>776927.15952483739</v>
      </c>
      <c r="AC270" s="422">
        <f t="shared" si="96"/>
        <v>785722.57335391967</v>
      </c>
    </row>
    <row r="271" spans="1:30" ht="15.75">
      <c r="A271" s="25"/>
      <c r="B271" s="25"/>
      <c r="C271" s="403" t="s">
        <v>199</v>
      </c>
      <c r="D271" s="416">
        <f t="shared" si="94"/>
        <v>9682.3664809547936</v>
      </c>
      <c r="F271" s="422">
        <f>F170</f>
        <v>0</v>
      </c>
      <c r="G271" s="422">
        <f t="shared" ref="G271:AC271" si="97">G170</f>
        <v>353273.35716165416</v>
      </c>
      <c r="H271" s="422">
        <f t="shared" si="97"/>
        <v>376120.09860081843</v>
      </c>
      <c r="I271" s="422">
        <f t="shared" si="97"/>
        <v>380094.50682816451</v>
      </c>
      <c r="J271" s="422">
        <f t="shared" si="97"/>
        <v>384110.42395371315</v>
      </c>
      <c r="K271" s="422">
        <f t="shared" si="97"/>
        <v>388168.35301341733</v>
      </c>
      <c r="L271" s="422">
        <f t="shared" si="97"/>
        <v>392268.80379343306</v>
      </c>
      <c r="M271" s="422">
        <f t="shared" si="97"/>
        <v>396412.29293579655</v>
      </c>
      <c r="N271" s="422">
        <f t="shared" si="97"/>
        <v>401036.83809161547</v>
      </c>
      <c r="O271" s="422">
        <f t="shared" si="97"/>
        <v>405716.80477326264</v>
      </c>
      <c r="P271" s="422">
        <f t="shared" si="97"/>
        <v>410452.85101949598</v>
      </c>
      <c r="Q271" s="422">
        <f t="shared" si="97"/>
        <v>415245.64387392101</v>
      </c>
      <c r="R271" s="422">
        <f t="shared" si="97"/>
        <v>420095.85953153484</v>
      </c>
      <c r="S271" s="422">
        <f t="shared" si="97"/>
        <v>425004.18348816817</v>
      </c>
      <c r="T271" s="422">
        <f t="shared" si="97"/>
        <v>429971.31069289549</v>
      </c>
      <c r="U271" s="422">
        <f t="shared" si="97"/>
        <v>434997.94570348633</v>
      </c>
      <c r="V271" s="422">
        <f t="shared" si="97"/>
        <v>440084.80284496845</v>
      </c>
      <c r="W271" s="422">
        <f t="shared" si="97"/>
        <v>445232.60637137986</v>
      </c>
      <c r="X271" s="422">
        <f t="shared" si="97"/>
        <v>450491.17779228679</v>
      </c>
      <c r="Y271" s="422">
        <f t="shared" si="97"/>
        <v>455813.37898207328</v>
      </c>
      <c r="Z271" s="422">
        <f t="shared" si="97"/>
        <v>461199.97823003563</v>
      </c>
      <c r="AA271" s="422">
        <f t="shared" si="97"/>
        <v>466651.75462986651</v>
      </c>
      <c r="AB271" s="422">
        <f t="shared" si="97"/>
        <v>472169.49826215475</v>
      </c>
      <c r="AC271" s="422">
        <f t="shared" si="97"/>
        <v>477754.01038065401</v>
      </c>
    </row>
    <row r="272" spans="1:30" ht="15.75">
      <c r="A272" s="25"/>
      <c r="B272" s="25"/>
      <c r="C272" s="403" t="s">
        <v>200</v>
      </c>
      <c r="D272" s="416">
        <f t="shared" si="94"/>
        <v>3016.3083253666268</v>
      </c>
      <c r="F272" s="422">
        <f>F183-F181</f>
        <v>0</v>
      </c>
      <c r="G272" s="422">
        <f t="shared" ref="G272:AC272" si="98">G183-G181</f>
        <v>14575.545000000013</v>
      </c>
      <c r="H272" s="422">
        <f t="shared" si="98"/>
        <v>138137.25975808129</v>
      </c>
      <c r="I272" s="422">
        <f t="shared" si="98"/>
        <v>138513.88616791231</v>
      </c>
      <c r="J272" s="422">
        <f t="shared" si="98"/>
        <v>138891.95398695499</v>
      </c>
      <c r="K272" s="422">
        <f t="shared" si="98"/>
        <v>139271.47762930149</v>
      </c>
      <c r="L272" s="422">
        <f t="shared" si="98"/>
        <v>139652.47165318474</v>
      </c>
      <c r="M272" s="422">
        <f t="shared" si="98"/>
        <v>140034.95076242022</v>
      </c>
      <c r="N272" s="422">
        <f t="shared" si="98"/>
        <v>140699.84030435895</v>
      </c>
      <c r="O272" s="422">
        <f t="shared" si="98"/>
        <v>141366.24478186539</v>
      </c>
      <c r="P272" s="422">
        <f t="shared" si="98"/>
        <v>142034.17934429535</v>
      </c>
      <c r="Q272" s="422">
        <f t="shared" si="98"/>
        <v>142703.65929249793</v>
      </c>
      <c r="R272" s="422">
        <f t="shared" si="98"/>
        <v>143374.70008033098</v>
      </c>
      <c r="S272" s="422">
        <f t="shared" si="98"/>
        <v>144047.31731619072</v>
      </c>
      <c r="T272" s="422">
        <f t="shared" si="98"/>
        <v>144721.52676455738</v>
      </c>
      <c r="U272" s="422">
        <f t="shared" si="98"/>
        <v>145397.34434755615</v>
      </c>
      <c r="V272" s="422">
        <f t="shared" si="98"/>
        <v>146074.78614653327</v>
      </c>
      <c r="W272" s="422">
        <f t="shared" si="98"/>
        <v>146753.86840364852</v>
      </c>
      <c r="X272" s="422">
        <f t="shared" si="98"/>
        <v>147462.40848832444</v>
      </c>
      <c r="Y272" s="422">
        <f t="shared" si="98"/>
        <v>143350.85998990262</v>
      </c>
      <c r="Z272" s="422">
        <f t="shared" si="98"/>
        <v>138981.20611002983</v>
      </c>
      <c r="AA272" s="422">
        <f t="shared" si="98"/>
        <v>134613.25929747388</v>
      </c>
      <c r="AB272" s="422">
        <f t="shared" si="98"/>
        <v>130247.03662290791</v>
      </c>
      <c r="AC272" s="422">
        <f t="shared" si="98"/>
        <v>35402.543118298563</v>
      </c>
    </row>
    <row r="273" spans="1:29" ht="15.75">
      <c r="A273" s="36"/>
      <c r="B273" s="36"/>
      <c r="C273" s="403" t="s">
        <v>201</v>
      </c>
      <c r="D273" s="416">
        <f t="shared" si="94"/>
        <v>3357.6945007221202</v>
      </c>
      <c r="F273" s="422">
        <f>F203+F186</f>
        <v>0</v>
      </c>
      <c r="G273" s="422">
        <f t="shared" ref="G273:AC273" si="99">G203+G186</f>
        <v>104034.68136351911</v>
      </c>
      <c r="H273" s="422">
        <f t="shared" si="99"/>
        <v>190678.2830478017</v>
      </c>
      <c r="I273" s="422">
        <f t="shared" si="99"/>
        <v>182225.91446600924</v>
      </c>
      <c r="J273" s="422">
        <f t="shared" si="99"/>
        <v>173919.9210650592</v>
      </c>
      <c r="K273" s="422">
        <f t="shared" si="99"/>
        <v>165598.04086748126</v>
      </c>
      <c r="L273" s="422">
        <f t="shared" si="99"/>
        <v>157284.18340333953</v>
      </c>
      <c r="M273" s="422">
        <f t="shared" si="99"/>
        <v>148970.73747020896</v>
      </c>
      <c r="N273" s="422">
        <f t="shared" si="99"/>
        <v>142158.81983529241</v>
      </c>
      <c r="O273" s="422">
        <f t="shared" si="99"/>
        <v>136719.28563257179</v>
      </c>
      <c r="P273" s="422">
        <f t="shared" si="99"/>
        <v>137071.90207686718</v>
      </c>
      <c r="Q273" s="422">
        <f t="shared" si="99"/>
        <v>137376.34318729225</v>
      </c>
      <c r="R273" s="422">
        <f t="shared" si="99"/>
        <v>137674.95081828689</v>
      </c>
      <c r="S273" s="422">
        <f t="shared" si="99"/>
        <v>137924.90747137199</v>
      </c>
      <c r="T273" s="422">
        <f t="shared" si="99"/>
        <v>138168.42669805186</v>
      </c>
      <c r="U273" s="422">
        <f t="shared" si="99"/>
        <v>138362.82799416542</v>
      </c>
      <c r="V273" s="422">
        <f t="shared" si="99"/>
        <v>138550.15260894064</v>
      </c>
      <c r="W273" s="422">
        <f t="shared" si="99"/>
        <v>138687.90092135302</v>
      </c>
      <c r="X273" s="422">
        <f t="shared" si="99"/>
        <v>138917.68932039576</v>
      </c>
      <c r="Y273" s="422">
        <f t="shared" si="99"/>
        <v>139138.73530714551</v>
      </c>
      <c r="Z273" s="422">
        <f t="shared" si="99"/>
        <v>140888.21206544343</v>
      </c>
      <c r="AA273" s="422">
        <f t="shared" si="99"/>
        <v>142668.48650305194</v>
      </c>
      <c r="AB273" s="422">
        <f t="shared" si="99"/>
        <v>144437.03302685925</v>
      </c>
      <c r="AC273" s="422">
        <f t="shared" si="99"/>
        <v>146237.06557161117</v>
      </c>
    </row>
    <row r="274" spans="1:29" ht="15.75">
      <c r="A274" s="25"/>
      <c r="B274" s="25"/>
      <c r="C274" s="403" t="s">
        <v>579</v>
      </c>
      <c r="D274" s="416">
        <f t="shared" si="94"/>
        <v>39.173181789425968</v>
      </c>
      <c r="F274" s="422">
        <f>F208</f>
        <v>0</v>
      </c>
      <c r="G274" s="422">
        <f t="shared" ref="G274:AC274" si="100">G208</f>
        <v>1489.5729890764651</v>
      </c>
      <c r="H274" s="422">
        <f t="shared" si="100"/>
        <v>1541.651549981445</v>
      </c>
      <c r="I274" s="422">
        <f t="shared" si="100"/>
        <v>1556.4356308764279</v>
      </c>
      <c r="J274" s="422">
        <f t="shared" si="100"/>
        <v>1571.3701586433078</v>
      </c>
      <c r="K274" s="422">
        <f t="shared" si="100"/>
        <v>1586.4566377508031</v>
      </c>
      <c r="L274" s="422">
        <f t="shared" si="100"/>
        <v>1601.6965877123205</v>
      </c>
      <c r="M274" s="422">
        <f t="shared" si="100"/>
        <v>1617.0915432364002</v>
      </c>
      <c r="N274" s="422">
        <f t="shared" si="100"/>
        <v>1633.432830599015</v>
      </c>
      <c r="O274" s="422">
        <f t="shared" si="100"/>
        <v>1649.9322391359992</v>
      </c>
      <c r="P274" s="422">
        <f t="shared" si="100"/>
        <v>1666.5913500590968</v>
      </c>
      <c r="Q274" s="422">
        <f t="shared" si="100"/>
        <v>1683.4117603921688</v>
      </c>
      <c r="R274" s="422">
        <f t="shared" si="100"/>
        <v>1700.395083129315</v>
      </c>
      <c r="S274" s="422">
        <f t="shared" si="100"/>
        <v>1717.5429473945765</v>
      </c>
      <c r="T274" s="422">
        <f t="shared" si="100"/>
        <v>1734.8569986032335</v>
      </c>
      <c r="U274" s="422">
        <f t="shared" si="100"/>
        <v>1752.3388986247205</v>
      </c>
      <c r="V274" s="422">
        <f t="shared" si="100"/>
        <v>1769.9903259471662</v>
      </c>
      <c r="W274" s="422">
        <f t="shared" si="100"/>
        <v>1787.8129758435796</v>
      </c>
      <c r="X274" s="422">
        <f t="shared" si="100"/>
        <v>1805.8867225920549</v>
      </c>
      <c r="Y274" s="422">
        <f t="shared" si="100"/>
        <v>1824.1351334882347</v>
      </c>
      <c r="Z274" s="422">
        <f t="shared" si="100"/>
        <v>1842.5599551735966</v>
      </c>
      <c r="AA274" s="422">
        <f t="shared" si="100"/>
        <v>1861.1629517560318</v>
      </c>
      <c r="AB274" s="422">
        <f t="shared" si="100"/>
        <v>1879.9459049845118</v>
      </c>
      <c r="AC274" s="422">
        <f t="shared" si="100"/>
        <v>1898.9106144254956</v>
      </c>
    </row>
    <row r="275" spans="1:29" ht="15.75">
      <c r="A275" s="25"/>
      <c r="B275" s="25"/>
      <c r="C275" s="403" t="s">
        <v>202</v>
      </c>
      <c r="D275" s="416">
        <f t="shared" si="94"/>
        <v>34831.660116952342</v>
      </c>
      <c r="F275" s="422">
        <f>F221+F223+F234+F236+F240+F242+F244</f>
        <v>0</v>
      </c>
      <c r="G275" s="422">
        <f t="shared" ref="G275:AC275" si="101">G221+G223+G234+G236+G240+G242+G244</f>
        <v>367678.64745633292</v>
      </c>
      <c r="H275" s="422">
        <f t="shared" si="101"/>
        <v>1459823.2844580719</v>
      </c>
      <c r="I275" s="422">
        <f t="shared" si="101"/>
        <v>1455908.0067349214</v>
      </c>
      <c r="J275" s="422">
        <f t="shared" si="101"/>
        <v>1452029.864555164</v>
      </c>
      <c r="K275" s="422">
        <f t="shared" si="101"/>
        <v>1448189.2292742333</v>
      </c>
      <c r="L275" s="422">
        <f t="shared" si="101"/>
        <v>1444386.4759611185</v>
      </c>
      <c r="M275" s="422">
        <f t="shared" si="101"/>
        <v>1440621.9834354967</v>
      </c>
      <c r="N275" s="422">
        <f t="shared" si="101"/>
        <v>1460015.5687730177</v>
      </c>
      <c r="O275" s="422">
        <f t="shared" si="101"/>
        <v>1479448.1839398604</v>
      </c>
      <c r="P275" s="422">
        <f t="shared" si="101"/>
        <v>1498920.2192343187</v>
      </c>
      <c r="Q275" s="422">
        <f t="shared" si="101"/>
        <v>1518432.0688576682</v>
      </c>
      <c r="R275" s="422">
        <f t="shared" si="101"/>
        <v>1537984.1309531983</v>
      </c>
      <c r="S275" s="422">
        <f t="shared" si="101"/>
        <v>1557576.807645631</v>
      </c>
      <c r="T275" s="422">
        <f t="shared" si="101"/>
        <v>1577210.5050809339</v>
      </c>
      <c r="U275" s="422">
        <f t="shared" si="101"/>
        <v>1596885.6334665371</v>
      </c>
      <c r="V275" s="422">
        <f t="shared" si="101"/>
        <v>1616602.6071119441</v>
      </c>
      <c r="W275" s="422">
        <f t="shared" si="101"/>
        <v>1636361.8444697508</v>
      </c>
      <c r="X275" s="422">
        <f t="shared" si="101"/>
        <v>1658451.8371271505</v>
      </c>
      <c r="Y275" s="422">
        <f t="shared" si="101"/>
        <v>1680584.9429975708</v>
      </c>
      <c r="Z275" s="422">
        <f t="shared" si="101"/>
        <v>1702761.5932131412</v>
      </c>
      <c r="AA275" s="422">
        <f t="shared" si="101"/>
        <v>1724982.2232173136</v>
      </c>
      <c r="AB275" s="422">
        <f t="shared" si="101"/>
        <v>1747247.2728079741</v>
      </c>
      <c r="AC275" s="422">
        <f t="shared" si="101"/>
        <v>1769557.1861809874</v>
      </c>
    </row>
    <row r="276" spans="1:29" ht="15.75">
      <c r="A276" s="25"/>
      <c r="B276" s="25"/>
      <c r="C276" s="402"/>
      <c r="D276" s="417"/>
      <c r="F276" s="413">
        <f>SUM(F269:F275)</f>
        <v>0</v>
      </c>
      <c r="G276" s="413">
        <f t="shared" ref="G276:AC276" si="102">SUM(G269:G275)</f>
        <v>1195928.0824785512</v>
      </c>
      <c r="H276" s="413">
        <f t="shared" si="102"/>
        <v>2557092.075166598</v>
      </c>
      <c r="I276" s="413">
        <f t="shared" si="102"/>
        <v>2553025.2579270559</v>
      </c>
      <c r="J276" s="413">
        <f t="shared" si="102"/>
        <v>2680501.6840499369</v>
      </c>
      <c r="K276" s="413">
        <f t="shared" si="102"/>
        <v>2675861.9069644958</v>
      </c>
      <c r="L276" s="413">
        <f t="shared" si="102"/>
        <v>2671346.924828738</v>
      </c>
      <c r="M276" s="413">
        <f t="shared" si="102"/>
        <v>2666950.4060784392</v>
      </c>
      <c r="N276" s="413">
        <f t="shared" si="102"/>
        <v>2691593.9036162402</v>
      </c>
      <c r="O276" s="413">
        <f t="shared" si="102"/>
        <v>2717764.4272142854</v>
      </c>
      <c r="P276" s="413">
        <f t="shared" si="102"/>
        <v>2749883.4295031121</v>
      </c>
      <c r="Q276" s="413">
        <f t="shared" si="102"/>
        <v>2782112.2905175118</v>
      </c>
      <c r="R276" s="413">
        <f t="shared" si="102"/>
        <v>2814495.0790231321</v>
      </c>
      <c r="S276" s="413">
        <f t="shared" si="102"/>
        <v>2846990.7256290531</v>
      </c>
      <c r="T276" s="413">
        <f t="shared" si="102"/>
        <v>2879643.2134968564</v>
      </c>
      <c r="U276" s="413">
        <f t="shared" si="102"/>
        <v>2912411.6535466397</v>
      </c>
      <c r="V276" s="413">
        <f t="shared" si="102"/>
        <v>2945339.900583325</v>
      </c>
      <c r="W276" s="413">
        <f t="shared" si="102"/>
        <v>2978387.290996002</v>
      </c>
      <c r="X276" s="413">
        <f t="shared" si="102"/>
        <v>3014428.2681166888</v>
      </c>
      <c r="Y276" s="413">
        <f t="shared" si="102"/>
        <v>3045814.8144701649</v>
      </c>
      <c r="Z276" s="413">
        <f t="shared" si="102"/>
        <v>3078648.0148121584</v>
      </c>
      <c r="AA276" s="413">
        <f t="shared" si="102"/>
        <v>3111692.0010931678</v>
      </c>
      <c r="AB276" s="413">
        <f t="shared" si="102"/>
        <v>3144906.2419712236</v>
      </c>
      <c r="AC276" s="413">
        <f t="shared" si="102"/>
        <v>3087855.9585495964</v>
      </c>
    </row>
    <row r="277" spans="1:29" ht="15.75">
      <c r="A277" s="25"/>
      <c r="B277" s="25"/>
      <c r="C277" s="401" t="s">
        <v>182</v>
      </c>
      <c r="D277" s="418"/>
      <c r="G277" s="25"/>
      <c r="H277" s="25"/>
      <c r="I277" s="25"/>
      <c r="J277" s="25"/>
      <c r="K277" s="25"/>
      <c r="L277" s="25"/>
      <c r="M277" s="25"/>
      <c r="N277" s="25"/>
      <c r="O277" s="25"/>
      <c r="P277" s="25"/>
      <c r="Q277" s="25"/>
      <c r="R277" s="25"/>
      <c r="S277" s="25"/>
      <c r="T277" s="25"/>
      <c r="U277" s="25"/>
      <c r="V277" s="25"/>
      <c r="W277" s="25"/>
      <c r="X277" s="25"/>
      <c r="Y277" s="25"/>
      <c r="Z277" s="25"/>
      <c r="AA277" s="25"/>
      <c r="AB277" s="25"/>
      <c r="AC277" s="25"/>
    </row>
    <row r="278" spans="1:29" ht="15.75">
      <c r="A278" s="25"/>
      <c r="B278" s="25"/>
      <c r="C278" s="401" t="s">
        <v>183</v>
      </c>
      <c r="D278" s="419">
        <f>IRR(F278:AC278)</f>
        <v>0.28584278074015862</v>
      </c>
      <c r="F278" s="415">
        <f>F267+F276</f>
        <v>-1298775.0765570628</v>
      </c>
      <c r="G278" s="415">
        <f t="shared" ref="G278:AC278" si="103">G267+G276</f>
        <v>-5201278.9247171236</v>
      </c>
      <c r="H278" s="415">
        <f t="shared" si="103"/>
        <v>1895507.5272069545</v>
      </c>
      <c r="I278" s="415">
        <f t="shared" si="103"/>
        <v>1886589.5385544451</v>
      </c>
      <c r="J278" s="415">
        <f t="shared" si="103"/>
        <v>2009159.0098866238</v>
      </c>
      <c r="K278" s="415">
        <f t="shared" si="103"/>
        <v>1999555.9367989688</v>
      </c>
      <c r="L278" s="415">
        <f t="shared" si="103"/>
        <v>1990020.75403737</v>
      </c>
      <c r="M278" s="415">
        <f t="shared" si="103"/>
        <v>1980546.5609913671</v>
      </c>
      <c r="N278" s="415">
        <f t="shared" si="103"/>
        <v>1997850.6334933469</v>
      </c>
      <c r="O278" s="415">
        <f t="shared" si="103"/>
        <v>2016623.1031649436</v>
      </c>
      <c r="P278" s="415">
        <f t="shared" si="103"/>
        <v>2041284.8363477881</v>
      </c>
      <c r="Q278" s="415">
        <f t="shared" si="103"/>
        <v>2065996.6209248763</v>
      </c>
      <c r="R278" s="415">
        <f t="shared" si="103"/>
        <v>2090801.9275885429</v>
      </c>
      <c r="S278" s="415">
        <f t="shared" si="103"/>
        <v>2115659.0828938214</v>
      </c>
      <c r="T278" s="415">
        <f t="shared" si="103"/>
        <v>2140611.4599077059</v>
      </c>
      <c r="U278" s="415">
        <f t="shared" si="103"/>
        <v>2165617.5533547625</v>
      </c>
      <c r="V278" s="415">
        <f t="shared" si="103"/>
        <v>2190720.5956824245</v>
      </c>
      <c r="W278" s="415">
        <f t="shared" si="103"/>
        <v>2215879.2946987189</v>
      </c>
      <c r="X278" s="415">
        <f t="shared" si="103"/>
        <v>2243749.3643089235</v>
      </c>
      <c r="Y278" s="415">
        <f t="shared" si="103"/>
        <v>2266900.2403821424</v>
      </c>
      <c r="Z278" s="415">
        <f t="shared" si="103"/>
        <v>2291432.3600464053</v>
      </c>
      <c r="AA278" s="415">
        <f t="shared" si="103"/>
        <v>2316109.2011482362</v>
      </c>
      <c r="AB278" s="415">
        <f t="shared" si="103"/>
        <v>2340889.5717006512</v>
      </c>
      <c r="AC278" s="415">
        <f t="shared" si="103"/>
        <v>2275338.0255554561</v>
      </c>
    </row>
    <row r="279" spans="1:29" ht="15.75">
      <c r="A279" s="25"/>
      <c r="B279" s="25"/>
      <c r="C279" s="401" t="s">
        <v>184</v>
      </c>
      <c r="D279" s="420">
        <f>SUM(D269:D275)/SUM(D263:D266)</f>
        <v>2.6846328376564035</v>
      </c>
      <c r="F279" s="407">
        <f t="shared" ref="F279:AC279" si="104">F278-F250</f>
        <v>0</v>
      </c>
      <c r="G279" s="407">
        <f t="shared" si="104"/>
        <v>0</v>
      </c>
      <c r="H279" s="407">
        <f t="shared" si="104"/>
        <v>4448.8071137466468</v>
      </c>
      <c r="I279" s="407">
        <f t="shared" si="104"/>
        <v>4417.6264019485097</v>
      </c>
      <c r="J279" s="407">
        <f t="shared" si="104"/>
        <v>4386.445690149907</v>
      </c>
      <c r="K279" s="407">
        <f t="shared" si="104"/>
        <v>4355.26497835177</v>
      </c>
      <c r="L279" s="407">
        <f t="shared" si="104"/>
        <v>4324.0842665529344</v>
      </c>
      <c r="M279" s="407">
        <f t="shared" si="104"/>
        <v>4292.903554755263</v>
      </c>
      <c r="N279" s="407">
        <f t="shared" si="104"/>
        <v>4356.2170482531656</v>
      </c>
      <c r="O279" s="407">
        <f t="shared" si="104"/>
        <v>4419.5305417510681</v>
      </c>
      <c r="P279" s="407">
        <f t="shared" si="104"/>
        <v>4482.844035248505</v>
      </c>
      <c r="Q279" s="407">
        <f t="shared" si="104"/>
        <v>4546.1575287464075</v>
      </c>
      <c r="R279" s="407">
        <f t="shared" si="104"/>
        <v>4609.4710222445428</v>
      </c>
      <c r="S279" s="407">
        <f t="shared" si="104"/>
        <v>4672.7845157422125</v>
      </c>
      <c r="T279" s="407">
        <f t="shared" si="104"/>
        <v>4736.0980092398822</v>
      </c>
      <c r="U279" s="407">
        <f t="shared" si="104"/>
        <v>4799.4115027380176</v>
      </c>
      <c r="V279" s="407">
        <f t="shared" si="104"/>
        <v>4862.7249962361529</v>
      </c>
      <c r="W279" s="407">
        <f t="shared" si="104"/>
        <v>4926.0384897338226</v>
      </c>
      <c r="X279" s="407">
        <f t="shared" si="104"/>
        <v>4998.7038234500214</v>
      </c>
      <c r="Y279" s="407">
        <f t="shared" si="104"/>
        <v>5071.3691571685486</v>
      </c>
      <c r="Z279" s="407">
        <f t="shared" si="104"/>
        <v>5144.034490883816</v>
      </c>
      <c r="AA279" s="407">
        <f t="shared" si="104"/>
        <v>5216.6998246018775</v>
      </c>
      <c r="AB279" s="407">
        <f t="shared" si="104"/>
        <v>5289.3651583180763</v>
      </c>
      <c r="AC279" s="407">
        <f t="shared" si="104"/>
        <v>5362.0304920352064</v>
      </c>
    </row>
    <row r="280" spans="1:29">
      <c r="A280" s="25"/>
      <c r="B280" s="25"/>
      <c r="C280" s="50"/>
      <c r="D280" s="40"/>
      <c r="F280" s="39"/>
    </row>
    <row r="281" spans="1:29">
      <c r="A281" s="25"/>
      <c r="B281" s="25"/>
      <c r="C281" s="50"/>
      <c r="D281" s="25"/>
      <c r="F281" s="39"/>
    </row>
    <row r="282" spans="1:29" ht="14.25">
      <c r="A282" s="25"/>
      <c r="B282" s="25"/>
      <c r="C282" s="412" t="s">
        <v>580</v>
      </c>
      <c r="D282" s="39"/>
      <c r="E282" s="39"/>
      <c r="F282" s="39"/>
    </row>
    <row r="283" spans="1:29" ht="15.75">
      <c r="A283" s="25"/>
      <c r="B283" s="25"/>
      <c r="C283" s="401" t="s">
        <v>1</v>
      </c>
      <c r="D283" s="418">
        <f>SUM(D284:D287)</f>
        <v>18134.137076370025</v>
      </c>
      <c r="E283" s="39"/>
      <c r="F283" s="422"/>
      <c r="G283" s="422"/>
      <c r="H283" s="422"/>
      <c r="I283" s="422"/>
      <c r="J283" s="422"/>
      <c r="K283" s="422"/>
      <c r="L283" s="422"/>
      <c r="M283" s="422"/>
      <c r="N283" s="422"/>
      <c r="O283" s="422"/>
      <c r="P283" s="422"/>
      <c r="Q283" s="422"/>
      <c r="R283" s="422"/>
      <c r="S283" s="422"/>
      <c r="T283" s="422"/>
      <c r="U283" s="422"/>
      <c r="V283" s="422"/>
      <c r="W283" s="422"/>
      <c r="X283" s="422"/>
      <c r="Y283" s="422"/>
      <c r="Z283" s="422"/>
      <c r="AA283" s="422"/>
      <c r="AB283" s="422"/>
      <c r="AC283" s="422"/>
    </row>
    <row r="284" spans="1:29" ht="15.75">
      <c r="A284" s="25"/>
      <c r="B284" s="25"/>
      <c r="C284" s="403" t="s">
        <v>196</v>
      </c>
      <c r="D284" s="416">
        <f>-SUM(F284:AC284)/1000</f>
        <v>6478.7162807050618</v>
      </c>
      <c r="E284" s="39"/>
      <c r="F284" s="422">
        <f t="shared" ref="F284:AC284" si="105">F263*F$251</f>
        <v>-1112989.067961165</v>
      </c>
      <c r="G284" s="422">
        <f t="shared" si="105"/>
        <v>-5365727.212743897</v>
      </c>
      <c r="H284" s="422">
        <f t="shared" si="105"/>
        <v>0</v>
      </c>
      <c r="I284" s="422">
        <f t="shared" si="105"/>
        <v>0</v>
      </c>
      <c r="J284" s="422">
        <f t="shared" si="105"/>
        <v>0</v>
      </c>
      <c r="K284" s="422">
        <f t="shared" si="105"/>
        <v>0</v>
      </c>
      <c r="L284" s="422">
        <f t="shared" si="105"/>
        <v>0</v>
      </c>
      <c r="M284" s="422">
        <f t="shared" si="105"/>
        <v>0</v>
      </c>
      <c r="N284" s="422">
        <f t="shared" si="105"/>
        <v>0</v>
      </c>
      <c r="O284" s="422">
        <f t="shared" si="105"/>
        <v>0</v>
      </c>
      <c r="P284" s="422">
        <f t="shared" si="105"/>
        <v>0</v>
      </c>
      <c r="Q284" s="422">
        <f t="shared" si="105"/>
        <v>0</v>
      </c>
      <c r="R284" s="422">
        <f t="shared" si="105"/>
        <v>0</v>
      </c>
      <c r="S284" s="422">
        <f t="shared" si="105"/>
        <v>0</v>
      </c>
      <c r="T284" s="422">
        <f t="shared" si="105"/>
        <v>0</v>
      </c>
      <c r="U284" s="422">
        <f t="shared" si="105"/>
        <v>0</v>
      </c>
      <c r="V284" s="422">
        <f t="shared" si="105"/>
        <v>0</v>
      </c>
      <c r="W284" s="422">
        <f t="shared" si="105"/>
        <v>0</v>
      </c>
      <c r="X284" s="422">
        <f t="shared" si="105"/>
        <v>0</v>
      </c>
      <c r="Y284" s="422">
        <f t="shared" si="105"/>
        <v>0</v>
      </c>
      <c r="Z284" s="422">
        <f t="shared" si="105"/>
        <v>0</v>
      </c>
      <c r="AA284" s="422">
        <f t="shared" si="105"/>
        <v>0</v>
      </c>
      <c r="AB284" s="422">
        <f t="shared" si="105"/>
        <v>0</v>
      </c>
      <c r="AC284" s="422">
        <f t="shared" si="105"/>
        <v>0</v>
      </c>
    </row>
    <row r="285" spans="1:29" ht="15.75">
      <c r="A285" s="25"/>
      <c r="B285" s="25"/>
      <c r="C285" s="403" t="s">
        <v>197</v>
      </c>
      <c r="D285" s="416">
        <f>-SUM(F285:AC285)/1000</f>
        <v>0</v>
      </c>
      <c r="F285" s="422">
        <f t="shared" ref="F285:AC285" si="106">F264*F$251</f>
        <v>0</v>
      </c>
      <c r="G285" s="422">
        <f t="shared" si="106"/>
        <v>0</v>
      </c>
      <c r="H285" s="422">
        <f t="shared" si="106"/>
        <v>0</v>
      </c>
      <c r="I285" s="422">
        <f t="shared" si="106"/>
        <v>0</v>
      </c>
      <c r="J285" s="422">
        <f t="shared" si="106"/>
        <v>0</v>
      </c>
      <c r="K285" s="422">
        <f t="shared" si="106"/>
        <v>0</v>
      </c>
      <c r="L285" s="422">
        <f t="shared" si="106"/>
        <v>0</v>
      </c>
      <c r="M285" s="422">
        <f t="shared" si="106"/>
        <v>0</v>
      </c>
      <c r="N285" s="422">
        <f t="shared" si="106"/>
        <v>0</v>
      </c>
      <c r="O285" s="422">
        <f t="shared" si="106"/>
        <v>0</v>
      </c>
      <c r="P285" s="422">
        <f t="shared" si="106"/>
        <v>0</v>
      </c>
      <c r="Q285" s="422">
        <f t="shared" si="106"/>
        <v>0</v>
      </c>
      <c r="R285" s="422">
        <f t="shared" si="106"/>
        <v>0</v>
      </c>
      <c r="S285" s="422">
        <f t="shared" si="106"/>
        <v>0</v>
      </c>
      <c r="T285" s="422">
        <f t="shared" si="106"/>
        <v>0</v>
      </c>
      <c r="U285" s="422">
        <f t="shared" si="106"/>
        <v>0</v>
      </c>
      <c r="V285" s="422">
        <f t="shared" si="106"/>
        <v>0</v>
      </c>
      <c r="W285" s="422">
        <f t="shared" si="106"/>
        <v>0</v>
      </c>
      <c r="X285" s="422">
        <f t="shared" si="106"/>
        <v>0</v>
      </c>
      <c r="Y285" s="422">
        <f t="shared" si="106"/>
        <v>0</v>
      </c>
      <c r="Z285" s="422">
        <f t="shared" si="106"/>
        <v>0</v>
      </c>
      <c r="AA285" s="422">
        <f t="shared" si="106"/>
        <v>0</v>
      </c>
      <c r="AB285" s="422">
        <f t="shared" si="106"/>
        <v>0</v>
      </c>
      <c r="AC285" s="422">
        <f t="shared" si="106"/>
        <v>0</v>
      </c>
    </row>
    <row r="286" spans="1:29" ht="15.75">
      <c r="A286" s="25"/>
      <c r="B286" s="25"/>
      <c r="C286" s="404" t="s">
        <v>546</v>
      </c>
      <c r="D286" s="416">
        <f>-SUM(F286:AC286)/1000</f>
        <v>291.60577171348638</v>
      </c>
      <c r="F286" s="422">
        <f t="shared" ref="F286:AC286" si="107">F265*F$251</f>
        <v>-147957.60830782805</v>
      </c>
      <c r="G286" s="422">
        <f t="shared" si="107"/>
        <v>-143648.1634056583</v>
      </c>
      <c r="H286" s="422">
        <f t="shared" si="107"/>
        <v>0</v>
      </c>
      <c r="I286" s="422">
        <f t="shared" si="107"/>
        <v>0</v>
      </c>
      <c r="J286" s="422">
        <f t="shared" si="107"/>
        <v>0</v>
      </c>
      <c r="K286" s="422">
        <f t="shared" si="107"/>
        <v>0</v>
      </c>
      <c r="L286" s="422">
        <f t="shared" si="107"/>
        <v>0</v>
      </c>
      <c r="M286" s="422">
        <f t="shared" si="107"/>
        <v>0</v>
      </c>
      <c r="N286" s="422">
        <f t="shared" si="107"/>
        <v>0</v>
      </c>
      <c r="O286" s="422">
        <f t="shared" si="107"/>
        <v>0</v>
      </c>
      <c r="P286" s="422">
        <f t="shared" si="107"/>
        <v>0</v>
      </c>
      <c r="Q286" s="422">
        <f t="shared" si="107"/>
        <v>0</v>
      </c>
      <c r="R286" s="422">
        <f t="shared" si="107"/>
        <v>0</v>
      </c>
      <c r="S286" s="422">
        <f t="shared" si="107"/>
        <v>0</v>
      </c>
      <c r="T286" s="422">
        <f t="shared" si="107"/>
        <v>0</v>
      </c>
      <c r="U286" s="422">
        <f t="shared" si="107"/>
        <v>0</v>
      </c>
      <c r="V286" s="422">
        <f t="shared" si="107"/>
        <v>0</v>
      </c>
      <c r="W286" s="422">
        <f t="shared" si="107"/>
        <v>0</v>
      </c>
      <c r="X286" s="422">
        <f t="shared" si="107"/>
        <v>0</v>
      </c>
      <c r="Y286" s="422">
        <f t="shared" si="107"/>
        <v>0</v>
      </c>
      <c r="Z286" s="422">
        <f t="shared" si="107"/>
        <v>0</v>
      </c>
      <c r="AA286" s="422">
        <f t="shared" si="107"/>
        <v>0</v>
      </c>
      <c r="AB286" s="422">
        <f t="shared" si="107"/>
        <v>0</v>
      </c>
      <c r="AC286" s="422">
        <f t="shared" si="107"/>
        <v>0</v>
      </c>
    </row>
    <row r="287" spans="1:29" ht="15.75">
      <c r="A287" s="25"/>
      <c r="B287" s="25"/>
      <c r="C287" s="403" t="s">
        <v>198</v>
      </c>
      <c r="D287" s="416">
        <f>-SUM(F287:AC287)/1000</f>
        <v>11363.815023951476</v>
      </c>
      <c r="F287" s="422">
        <f t="shared" ref="F287:AC287" si="108">F266*F$251</f>
        <v>0</v>
      </c>
      <c r="G287" s="422">
        <f t="shared" si="108"/>
        <v>-520605.77871487581</v>
      </c>
      <c r="H287" s="422">
        <f t="shared" si="108"/>
        <v>-605443.58102219785</v>
      </c>
      <c r="I287" s="422">
        <f t="shared" si="108"/>
        <v>-592119.50493093941</v>
      </c>
      <c r="J287" s="422">
        <f t="shared" si="108"/>
        <v>-579106.08806522936</v>
      </c>
      <c r="K287" s="422">
        <f t="shared" si="108"/>
        <v>-566395.60271479399</v>
      </c>
      <c r="L287" s="422">
        <f t="shared" si="108"/>
        <v>-553980.52592653327</v>
      </c>
      <c r="M287" s="422">
        <f t="shared" si="108"/>
        <v>-541853.53378032683</v>
      </c>
      <c r="N287" s="422">
        <f t="shared" si="108"/>
        <v>-531696.45017296996</v>
      </c>
      <c r="O287" s="422">
        <f t="shared" si="108"/>
        <v>-521714.99270774791</v>
      </c>
      <c r="P287" s="422">
        <f t="shared" si="108"/>
        <v>-511906.70026335609</v>
      </c>
      <c r="Q287" s="422">
        <f t="shared" si="108"/>
        <v>-502269.12254319323</v>
      </c>
      <c r="R287" s="422">
        <f t="shared" si="108"/>
        <v>-492799.82121326908</v>
      </c>
      <c r="S287" s="422">
        <f t="shared" si="108"/>
        <v>-483496.37097084272</v>
      </c>
      <c r="T287" s="422">
        <f t="shared" si="108"/>
        <v>-474356.36054674297</v>
      </c>
      <c r="U287" s="422">
        <f t="shared" si="108"/>
        <v>-465377.39364421112</v>
      </c>
      <c r="V287" s="422">
        <f t="shared" si="108"/>
        <v>-456557.08981699421</v>
      </c>
      <c r="W287" s="422">
        <f t="shared" si="108"/>
        <v>-447893.08528932027</v>
      </c>
      <c r="X287" s="422">
        <f t="shared" si="108"/>
        <v>-439507.4100002998</v>
      </c>
      <c r="Y287" s="422">
        <f t="shared" si="108"/>
        <v>-431266.11425491341</v>
      </c>
      <c r="Z287" s="422">
        <f t="shared" si="108"/>
        <v>-423167.20520360919</v>
      </c>
      <c r="AA287" s="422">
        <f t="shared" si="108"/>
        <v>-415208.69712242973</v>
      </c>
      <c r="AB287" s="422">
        <f t="shared" si="108"/>
        <v>-407388.61242601735</v>
      </c>
      <c r="AC287" s="422">
        <f t="shared" si="108"/>
        <v>-399704.98262066225</v>
      </c>
    </row>
    <row r="288" spans="1:29" ht="15.75">
      <c r="A288" s="25"/>
      <c r="B288" s="25"/>
      <c r="C288" s="402"/>
      <c r="D288" s="417"/>
      <c r="F288" s="414">
        <f>SUM(F284:F287)</f>
        <v>-1260946.6762689929</v>
      </c>
      <c r="G288" s="414">
        <f t="shared" ref="G288:AC288" si="109">SUM(G284:G287)</f>
        <v>-6029981.1548644314</v>
      </c>
      <c r="H288" s="414">
        <f t="shared" si="109"/>
        <v>-605443.58102219785</v>
      </c>
      <c r="I288" s="414">
        <f t="shared" si="109"/>
        <v>-592119.50493093941</v>
      </c>
      <c r="J288" s="414">
        <f t="shared" si="109"/>
        <v>-579106.08806522936</v>
      </c>
      <c r="K288" s="414">
        <f t="shared" si="109"/>
        <v>-566395.60271479399</v>
      </c>
      <c r="L288" s="414">
        <f t="shared" si="109"/>
        <v>-553980.52592653327</v>
      </c>
      <c r="M288" s="414">
        <f t="shared" si="109"/>
        <v>-541853.53378032683</v>
      </c>
      <c r="N288" s="414">
        <f t="shared" si="109"/>
        <v>-531696.45017296996</v>
      </c>
      <c r="O288" s="414">
        <f t="shared" si="109"/>
        <v>-521714.99270774791</v>
      </c>
      <c r="P288" s="414">
        <f t="shared" si="109"/>
        <v>-511906.70026335609</v>
      </c>
      <c r="Q288" s="414">
        <f t="shared" si="109"/>
        <v>-502269.12254319323</v>
      </c>
      <c r="R288" s="414">
        <f t="shared" si="109"/>
        <v>-492799.82121326908</v>
      </c>
      <c r="S288" s="414">
        <f t="shared" si="109"/>
        <v>-483496.37097084272</v>
      </c>
      <c r="T288" s="414">
        <f t="shared" si="109"/>
        <v>-474356.36054674297</v>
      </c>
      <c r="U288" s="414">
        <f t="shared" si="109"/>
        <v>-465377.39364421112</v>
      </c>
      <c r="V288" s="414">
        <f t="shared" si="109"/>
        <v>-456557.08981699421</v>
      </c>
      <c r="W288" s="414">
        <f t="shared" si="109"/>
        <v>-447893.08528932027</v>
      </c>
      <c r="X288" s="414">
        <f t="shared" si="109"/>
        <v>-439507.4100002998</v>
      </c>
      <c r="Y288" s="414">
        <f t="shared" si="109"/>
        <v>-431266.11425491341</v>
      </c>
      <c r="Z288" s="414">
        <f t="shared" si="109"/>
        <v>-423167.20520360919</v>
      </c>
      <c r="AA288" s="414">
        <f t="shared" si="109"/>
        <v>-415208.69712242973</v>
      </c>
      <c r="AB288" s="414">
        <f t="shared" si="109"/>
        <v>-407388.61242601735</v>
      </c>
      <c r="AC288" s="414">
        <f t="shared" si="109"/>
        <v>-399704.98262066225</v>
      </c>
    </row>
    <row r="289" spans="1:29" ht="15.75">
      <c r="A289" s="25"/>
      <c r="B289" s="25"/>
      <c r="C289" s="401" t="s">
        <v>0</v>
      </c>
      <c r="D289" s="418">
        <f>SUM(D290:D296)</f>
        <v>43379.678696936695</v>
      </c>
      <c r="F289" s="406"/>
      <c r="G289" s="406"/>
      <c r="H289" s="406"/>
      <c r="I289" s="406"/>
      <c r="J289" s="406"/>
      <c r="K289" s="406"/>
      <c r="L289" s="406"/>
      <c r="M289" s="406"/>
      <c r="N289" s="406"/>
      <c r="O289" s="406"/>
      <c r="P289" s="406"/>
      <c r="Q289" s="406"/>
      <c r="R289" s="406"/>
      <c r="S289" s="406"/>
      <c r="T289" s="406"/>
      <c r="U289" s="406"/>
      <c r="V289" s="406"/>
      <c r="W289" s="406"/>
      <c r="X289" s="406"/>
      <c r="Y289" s="406"/>
      <c r="Z289" s="406"/>
      <c r="AA289" s="406"/>
      <c r="AB289" s="406"/>
      <c r="AC289" s="406"/>
    </row>
    <row r="290" spans="1:29" ht="15.75">
      <c r="A290" s="25"/>
      <c r="C290" s="403" t="s">
        <v>577</v>
      </c>
      <c r="D290" s="416">
        <f t="shared" ref="D290:D296" si="110">SUM(F290:AC290)/1000</f>
        <v>-2104.1848244185421</v>
      </c>
      <c r="F290" s="424">
        <f t="shared" ref="F290:AC290" si="111">F269*F$251</f>
        <v>0</v>
      </c>
      <c r="G290" s="424">
        <f t="shared" si="111"/>
        <v>-49764.709337858272</v>
      </c>
      <c r="H290" s="424">
        <f t="shared" si="111"/>
        <v>-230476.73490686648</v>
      </c>
      <c r="I290" s="424">
        <f t="shared" si="111"/>
        <v>-222488.13698065063</v>
      </c>
      <c r="J290" s="424">
        <f t="shared" si="111"/>
        <v>-101530.01006645951</v>
      </c>
      <c r="K290" s="424">
        <f t="shared" si="111"/>
        <v>-98163.948531121408</v>
      </c>
      <c r="L290" s="424">
        <f t="shared" si="111"/>
        <v>-94913.737891419121</v>
      </c>
      <c r="M290" s="424">
        <f t="shared" si="111"/>
        <v>-91775.354340686899</v>
      </c>
      <c r="N290" s="424">
        <f t="shared" si="111"/>
        <v>-89759.417167482941</v>
      </c>
      <c r="O290" s="424">
        <f t="shared" si="111"/>
        <v>-87771.714602123102</v>
      </c>
      <c r="P290" s="424">
        <f t="shared" si="111"/>
        <v>-85812.506936313555</v>
      </c>
      <c r="Q290" s="424">
        <f t="shared" si="111"/>
        <v>-83882.011376697599</v>
      </c>
      <c r="R290" s="424">
        <f t="shared" si="111"/>
        <v>-81980.404420847597</v>
      </c>
      <c r="S290" s="424">
        <f t="shared" si="111"/>
        <v>-80107.824129384011</v>
      </c>
      <c r="T290" s="424">
        <f t="shared" si="111"/>
        <v>-78264.372298304457</v>
      </c>
      <c r="U290" s="424">
        <f t="shared" si="111"/>
        <v>-76450.11653545592</v>
      </c>
      <c r="V290" s="424">
        <f t="shared" si="111"/>
        <v>-74665.092244936313</v>
      </c>
      <c r="W290" s="424">
        <f t="shared" si="111"/>
        <v>-72909.304523071769</v>
      </c>
      <c r="X290" s="424">
        <f t="shared" si="111"/>
        <v>-71250.835682297286</v>
      </c>
      <c r="Y290" s="424">
        <f t="shared" si="111"/>
        <v>-69616.228796851894</v>
      </c>
      <c r="Z290" s="424">
        <f t="shared" si="111"/>
        <v>-68005.684212439985</v>
      </c>
      <c r="AA290" s="424">
        <f t="shared" si="111"/>
        <v>-66419.366670539224</v>
      </c>
      <c r="AB290" s="424">
        <f t="shared" si="111"/>
        <v>-64857.407292181699</v>
      </c>
      <c r="AC290" s="424">
        <f t="shared" si="111"/>
        <v>-63319.905474552448</v>
      </c>
    </row>
    <row r="291" spans="1:29" ht="15.75">
      <c r="A291" s="25"/>
      <c r="B291" s="25"/>
      <c r="C291" s="403" t="s">
        <v>578</v>
      </c>
      <c r="D291" s="416">
        <f t="shared" si="110"/>
        <v>10813.969270947482</v>
      </c>
      <c r="F291" s="422">
        <f t="shared" ref="F291:AC291" si="112">F270*F$251</f>
        <v>0</v>
      </c>
      <c r="G291" s="422">
        <f t="shared" si="112"/>
        <v>384269.63770808023</v>
      </c>
      <c r="H291" s="422">
        <f t="shared" si="112"/>
        <v>588106.31462059449</v>
      </c>
      <c r="I291" s="422">
        <f t="shared" si="112"/>
        <v>573197.52689575229</v>
      </c>
      <c r="J291" s="422">
        <f t="shared" si="112"/>
        <v>558693.8180731358</v>
      </c>
      <c r="K291" s="422">
        <f t="shared" si="112"/>
        <v>544583.54932401259</v>
      </c>
      <c r="L291" s="422">
        <f t="shared" si="112"/>
        <v>530855.42955809378</v>
      </c>
      <c r="M291" s="422">
        <f t="shared" si="112"/>
        <v>517498.50478053588</v>
      </c>
      <c r="N291" s="422">
        <f t="shared" si="112"/>
        <v>508260.81691177591</v>
      </c>
      <c r="O291" s="422">
        <f t="shared" si="112"/>
        <v>499154.43479592405</v>
      </c>
      <c r="P291" s="422">
        <f t="shared" si="112"/>
        <v>490178.92096224299</v>
      </c>
      <c r="Q291" s="422">
        <f t="shared" si="112"/>
        <v>481333.76417322119</v>
      </c>
      <c r="R291" s="422">
        <f t="shared" si="112"/>
        <v>472618.38385704282</v>
      </c>
      <c r="S291" s="422">
        <f t="shared" si="112"/>
        <v>464032.13434901251</v>
      </c>
      <c r="T291" s="422">
        <f t="shared" si="112"/>
        <v>455574.30894921289</v>
      </c>
      <c r="U291" s="422">
        <f t="shared" si="112"/>
        <v>447244.14380341768</v>
      </c>
      <c r="V291" s="422">
        <f t="shared" si="112"/>
        <v>439040.82161402522</v>
      </c>
      <c r="W291" s="422">
        <f t="shared" si="112"/>
        <v>430963.47518754</v>
      </c>
      <c r="X291" s="422">
        <f t="shared" si="112"/>
        <v>423287.9829637027</v>
      </c>
      <c r="Y291" s="422">
        <f t="shared" si="112"/>
        <v>415720.47202437441</v>
      </c>
      <c r="Z291" s="422">
        <f t="shared" si="112"/>
        <v>408260.64967023319</v>
      </c>
      <c r="AA291" s="422">
        <f t="shared" si="112"/>
        <v>400908.15862710762</v>
      </c>
      <c r="AB291" s="422">
        <f t="shared" si="112"/>
        <v>393662.58086215588</v>
      </c>
      <c r="AC291" s="422">
        <f t="shared" si="112"/>
        <v>386523.44123628765</v>
      </c>
    </row>
    <row r="292" spans="1:29" ht="15.75">
      <c r="A292" s="25"/>
      <c r="B292" s="25"/>
      <c r="C292" s="403" t="s">
        <v>199</v>
      </c>
      <c r="D292" s="416">
        <f t="shared" si="110"/>
        <v>6617.1237877430731</v>
      </c>
      <c r="F292" s="422">
        <f t="shared" ref="F292:AC292" si="113">F271*F$251</f>
        <v>0</v>
      </c>
      <c r="G292" s="422">
        <f t="shared" si="113"/>
        <v>332994.02126652293</v>
      </c>
      <c r="H292" s="422">
        <f t="shared" si="113"/>
        <v>344203.17114962696</v>
      </c>
      <c r="I292" s="422">
        <f t="shared" si="113"/>
        <v>337709.04630072549</v>
      </c>
      <c r="J292" s="422">
        <f t="shared" si="113"/>
        <v>331337.02587599831</v>
      </c>
      <c r="K292" s="422">
        <f t="shared" si="113"/>
        <v>325084.88459156011</v>
      </c>
      <c r="L292" s="422">
        <f t="shared" si="113"/>
        <v>318950.43452925188</v>
      </c>
      <c r="M292" s="422">
        <f t="shared" si="113"/>
        <v>312931.52463907865</v>
      </c>
      <c r="N292" s="422">
        <f t="shared" si="113"/>
        <v>307361.34299959603</v>
      </c>
      <c r="O292" s="422">
        <f t="shared" si="113"/>
        <v>301891.40560312726</v>
      </c>
      <c r="P292" s="422">
        <f t="shared" si="113"/>
        <v>296519.87261710578</v>
      </c>
      <c r="Q292" s="422">
        <f t="shared" si="113"/>
        <v>291244.93995094462</v>
      </c>
      <c r="R292" s="422">
        <f t="shared" si="113"/>
        <v>286064.83847358433</v>
      </c>
      <c r="S292" s="422">
        <f t="shared" si="113"/>
        <v>280977.83325143147</v>
      </c>
      <c r="T292" s="422">
        <f t="shared" si="113"/>
        <v>275982.22280606092</v>
      </c>
      <c r="U292" s="422">
        <f t="shared" si="113"/>
        <v>271076.33839107893</v>
      </c>
      <c r="V292" s="422">
        <f t="shared" si="113"/>
        <v>266258.54328755953</v>
      </c>
      <c r="W292" s="422">
        <f t="shared" si="113"/>
        <v>261527.23211749137</v>
      </c>
      <c r="X292" s="422">
        <f t="shared" si="113"/>
        <v>256908.82389698757</v>
      </c>
      <c r="Y292" s="422">
        <f t="shared" si="113"/>
        <v>252372.81637612099</v>
      </c>
      <c r="Z292" s="422">
        <f t="shared" si="113"/>
        <v>247917.71434683117</v>
      </c>
      <c r="AA292" s="422">
        <f t="shared" si="113"/>
        <v>243542.05126502755</v>
      </c>
      <c r="AB292" s="422">
        <f t="shared" si="113"/>
        <v>239244.3886296227</v>
      </c>
      <c r="AC292" s="422">
        <f t="shared" si="113"/>
        <v>235023.31537773972</v>
      </c>
    </row>
    <row r="293" spans="1:29" ht="15.75">
      <c r="C293" s="403" t="s">
        <v>200</v>
      </c>
      <c r="D293" s="416">
        <f t="shared" si="110"/>
        <v>2082.2674052857346</v>
      </c>
      <c r="F293" s="422">
        <f t="shared" ref="F293:AC293" si="114">F272*F$251</f>
        <v>0</v>
      </c>
      <c r="G293" s="422">
        <f t="shared" si="114"/>
        <v>13738.849090394961</v>
      </c>
      <c r="H293" s="422">
        <f t="shared" si="114"/>
        <v>126415.16111350893</v>
      </c>
      <c r="I293" s="422">
        <f t="shared" si="114"/>
        <v>123067.79381665816</v>
      </c>
      <c r="J293" s="422">
        <f t="shared" si="114"/>
        <v>119809.41958942846</v>
      </c>
      <c r="K293" s="422">
        <f t="shared" si="114"/>
        <v>116637.66991960973</v>
      </c>
      <c r="L293" s="422">
        <f t="shared" si="114"/>
        <v>113550.23923932282</v>
      </c>
      <c r="M293" s="422">
        <f t="shared" si="114"/>
        <v>110544.88325855181</v>
      </c>
      <c r="N293" s="422">
        <f t="shared" si="114"/>
        <v>107834.71184733689</v>
      </c>
      <c r="O293" s="422">
        <f t="shared" si="114"/>
        <v>105189.76251398693</v>
      </c>
      <c r="P293" s="422">
        <f t="shared" si="114"/>
        <v>102608.51316256337</v>
      </c>
      <c r="Q293" s="422">
        <f t="shared" si="114"/>
        <v>100089.47545767103</v>
      </c>
      <c r="R293" s="422">
        <f t="shared" si="114"/>
        <v>97631.194140821332</v>
      </c>
      <c r="S293" s="422">
        <f t="shared" si="114"/>
        <v>95232.246358138364</v>
      </c>
      <c r="T293" s="422">
        <f t="shared" si="114"/>
        <v>92891.24099932496</v>
      </c>
      <c r="U293" s="422">
        <f t="shared" si="114"/>
        <v>90606.818047799505</v>
      </c>
      <c r="V293" s="422">
        <f t="shared" si="114"/>
        <v>88377.647941910531</v>
      </c>
      <c r="W293" s="422">
        <f t="shared" si="114"/>
        <v>86202.430947132656</v>
      </c>
      <c r="X293" s="422">
        <f t="shared" si="114"/>
        <v>84095.751040923569</v>
      </c>
      <c r="Y293" s="422">
        <f t="shared" si="114"/>
        <v>79369.895518168996</v>
      </c>
      <c r="Z293" s="422">
        <f t="shared" si="114"/>
        <v>74709.246709414743</v>
      </c>
      <c r="AA293" s="422">
        <f t="shared" si="114"/>
        <v>70253.650546714562</v>
      </c>
      <c r="AB293" s="422">
        <f t="shared" si="114"/>
        <v>65995.098714247637</v>
      </c>
      <c r="AC293" s="422">
        <f t="shared" si="114"/>
        <v>17415.705312105187</v>
      </c>
    </row>
    <row r="294" spans="1:29" ht="15.75">
      <c r="C294" s="403" t="s">
        <v>201</v>
      </c>
      <c r="D294" s="416">
        <f t="shared" si="110"/>
        <v>2351.4320582286859</v>
      </c>
      <c r="F294" s="422">
        <f t="shared" ref="F294:AC294" si="115">F273*F$251</f>
        <v>0</v>
      </c>
      <c r="G294" s="422">
        <f t="shared" si="115"/>
        <v>98062.665061286738</v>
      </c>
      <c r="H294" s="422">
        <f t="shared" si="115"/>
        <v>174497.64035097667</v>
      </c>
      <c r="I294" s="422">
        <f t="shared" si="115"/>
        <v>161905.36479764135</v>
      </c>
      <c r="J294" s="422">
        <f t="shared" si="115"/>
        <v>150024.85169012044</v>
      </c>
      <c r="K294" s="422">
        <f t="shared" si="115"/>
        <v>138685.75216417195</v>
      </c>
      <c r="L294" s="422">
        <f t="shared" si="115"/>
        <v>127886.43439382654</v>
      </c>
      <c r="M294" s="422">
        <f t="shared" si="115"/>
        <v>117598.87580153995</v>
      </c>
      <c r="N294" s="422">
        <f t="shared" si="115"/>
        <v>108952.89817199115</v>
      </c>
      <c r="O294" s="422">
        <f t="shared" si="115"/>
        <v>101731.9884882239</v>
      </c>
      <c r="P294" s="422">
        <f t="shared" si="115"/>
        <v>99023.658484190892</v>
      </c>
      <c r="Q294" s="422">
        <f t="shared" si="115"/>
        <v>96353.003126051772</v>
      </c>
      <c r="R294" s="422">
        <f t="shared" si="115"/>
        <v>93749.942243207275</v>
      </c>
      <c r="S294" s="422">
        <f t="shared" si="115"/>
        <v>91184.612195209498</v>
      </c>
      <c r="T294" s="422">
        <f t="shared" si="115"/>
        <v>88685.055429152169</v>
      </c>
      <c r="U294" s="422">
        <f t="shared" si="115"/>
        <v>86223.140022963169</v>
      </c>
      <c r="V294" s="422">
        <f t="shared" si="115"/>
        <v>83825.120902711875</v>
      </c>
      <c r="W294" s="422">
        <f t="shared" si="115"/>
        <v>81464.525142824001</v>
      </c>
      <c r="X294" s="422">
        <f t="shared" si="115"/>
        <v>79222.81709642183</v>
      </c>
      <c r="Y294" s="422">
        <f t="shared" si="115"/>
        <v>77037.744207716576</v>
      </c>
      <c r="Z294" s="422">
        <f t="shared" si="115"/>
        <v>75734.356379901597</v>
      </c>
      <c r="AA294" s="422">
        <f t="shared" si="115"/>
        <v>74457.613218211132</v>
      </c>
      <c r="AB294" s="422">
        <f t="shared" si="115"/>
        <v>73185.052802376813</v>
      </c>
      <c r="AC294" s="422">
        <f t="shared" si="115"/>
        <v>71938.946057968467</v>
      </c>
    </row>
    <row r="295" spans="1:29" ht="15.75">
      <c r="C295" s="403" t="s">
        <v>579</v>
      </c>
      <c r="D295" s="416">
        <f t="shared" si="110"/>
        <v>26.833322140335909</v>
      </c>
      <c r="F295" s="422">
        <f t="shared" ref="F295:AC295" si="116">F274*F$251</f>
        <v>0</v>
      </c>
      <c r="G295" s="422">
        <f t="shared" si="116"/>
        <v>1404.0654058596147</v>
      </c>
      <c r="H295" s="422">
        <f t="shared" si="116"/>
        <v>1410.8295575943898</v>
      </c>
      <c r="I295" s="422">
        <f t="shared" si="116"/>
        <v>1382.8728989481901</v>
      </c>
      <c r="J295" s="422">
        <f t="shared" si="116"/>
        <v>1355.4777023648546</v>
      </c>
      <c r="K295" s="422">
        <f t="shared" si="116"/>
        <v>1328.6324580275807</v>
      </c>
      <c r="L295" s="422">
        <f t="shared" si="116"/>
        <v>1302.3258992165029</v>
      </c>
      <c r="M295" s="422">
        <f t="shared" si="116"/>
        <v>1276.546996961787</v>
      </c>
      <c r="N295" s="422">
        <f t="shared" si="116"/>
        <v>1251.8902525304979</v>
      </c>
      <c r="O295" s="422">
        <f t="shared" si="116"/>
        <v>1227.704539133025</v>
      </c>
      <c r="P295" s="422">
        <f t="shared" si="116"/>
        <v>1203.9810506781471</v>
      </c>
      <c r="Q295" s="422">
        <f t="shared" si="116"/>
        <v>1180.7111388193011</v>
      </c>
      <c r="R295" s="422">
        <f t="shared" si="116"/>
        <v>1157.8863103747176</v>
      </c>
      <c r="S295" s="422">
        <f t="shared" si="116"/>
        <v>1135.4982247807461</v>
      </c>
      <c r="T295" s="422">
        <f t="shared" si="116"/>
        <v>1113.5386915782958</v>
      </c>
      <c r="U295" s="422">
        <f t="shared" si="116"/>
        <v>1091.9996679323128</v>
      </c>
      <c r="V295" s="422">
        <f t="shared" si="116"/>
        <v>1070.8732561841821</v>
      </c>
      <c r="W295" s="422">
        <f t="shared" si="116"/>
        <v>1050.1517014369376</v>
      </c>
      <c r="X295" s="422">
        <f t="shared" si="116"/>
        <v>1029.8719638994314</v>
      </c>
      <c r="Y295" s="422">
        <f t="shared" si="116"/>
        <v>1009.9793957718886</v>
      </c>
      <c r="Z295" s="422">
        <f t="shared" si="116"/>
        <v>990.46676972260195</v>
      </c>
      <c r="AA295" s="422">
        <f t="shared" si="116"/>
        <v>971.32698744196978</v>
      </c>
      <c r="AB295" s="422">
        <f t="shared" si="116"/>
        <v>952.55307754984631</v>
      </c>
      <c r="AC295" s="422">
        <f t="shared" si="116"/>
        <v>934.13819352908683</v>
      </c>
    </row>
    <row r="296" spans="1:29" ht="15.75">
      <c r="C296" s="403" t="s">
        <v>202</v>
      </c>
      <c r="D296" s="416">
        <f t="shared" si="110"/>
        <v>23592.237677009925</v>
      </c>
      <c r="F296" s="422">
        <f t="shared" ref="F296:AC296" si="117">F275*F$251</f>
        <v>0</v>
      </c>
      <c r="G296" s="422">
        <f t="shared" si="117"/>
        <v>346572.38896817126</v>
      </c>
      <c r="H296" s="422">
        <f t="shared" si="117"/>
        <v>1335945.1029013393</v>
      </c>
      <c r="I296" s="422">
        <f t="shared" si="117"/>
        <v>1293555.4069407249</v>
      </c>
      <c r="J296" s="422">
        <f t="shared" si="117"/>
        <v>1252533.716353432</v>
      </c>
      <c r="K296" s="422">
        <f t="shared" si="117"/>
        <v>1212835.6802160053</v>
      </c>
      <c r="L296" s="422">
        <f t="shared" si="117"/>
        <v>1174418.3827031262</v>
      </c>
      <c r="M296" s="422">
        <f t="shared" si="117"/>
        <v>1137240.2968796385</v>
      </c>
      <c r="N296" s="422">
        <f t="shared" si="117"/>
        <v>1118980.3613898379</v>
      </c>
      <c r="O296" s="422">
        <f t="shared" si="117"/>
        <v>1100848.3910746607</v>
      </c>
      <c r="P296" s="422">
        <f t="shared" si="117"/>
        <v>1082851.8582989529</v>
      </c>
      <c r="Q296" s="422">
        <f t="shared" si="117"/>
        <v>1064997.7025365594</v>
      </c>
      <c r="R296" s="422">
        <f t="shared" si="117"/>
        <v>1047292.3548608231</v>
      </c>
      <c r="S296" s="422">
        <f t="shared" si="117"/>
        <v>1029741.7614646488</v>
      </c>
      <c r="T296" s="422">
        <f t="shared" si="117"/>
        <v>1012351.4062458086</v>
      </c>
      <c r="U296" s="422">
        <f t="shared" si="117"/>
        <v>995126.33249191474</v>
      </c>
      <c r="V296" s="422">
        <f t="shared" si="117"/>
        <v>978071.16369825893</v>
      </c>
      <c r="W296" s="422">
        <f t="shared" si="117"/>
        <v>961190.12355056533</v>
      </c>
      <c r="X296" s="422">
        <f t="shared" si="117"/>
        <v>945791.90885417978</v>
      </c>
      <c r="Y296" s="422">
        <f t="shared" si="117"/>
        <v>930499.13578837819</v>
      </c>
      <c r="Z296" s="422">
        <f t="shared" si="117"/>
        <v>915318.26147748611</v>
      </c>
      <c r="AA296" s="422">
        <f t="shared" si="117"/>
        <v>900255.2864528856</v>
      </c>
      <c r="AB296" s="422">
        <f t="shared" si="117"/>
        <v>885315.77559808758</v>
      </c>
      <c r="AC296" s="422">
        <f t="shared" si="117"/>
        <v>870504.87826444139</v>
      </c>
    </row>
    <row r="297" spans="1:29" ht="15.75">
      <c r="C297" s="402"/>
      <c r="D297" s="417"/>
      <c r="F297" s="413">
        <f>SUM(F290:F296)</f>
        <v>0</v>
      </c>
      <c r="G297" s="413">
        <f t="shared" ref="G297:AC297" si="118">SUM(G290:G296)</f>
        <v>1127276.9181624574</v>
      </c>
      <c r="H297" s="413">
        <f t="shared" si="118"/>
        <v>2340101.484786774</v>
      </c>
      <c r="I297" s="413">
        <f t="shared" si="118"/>
        <v>2268329.8746697996</v>
      </c>
      <c r="J297" s="413">
        <f t="shared" si="118"/>
        <v>2312224.2992180204</v>
      </c>
      <c r="K297" s="413">
        <f t="shared" si="118"/>
        <v>2240992.2201422658</v>
      </c>
      <c r="L297" s="413">
        <f t="shared" si="118"/>
        <v>2172049.5084314188</v>
      </c>
      <c r="M297" s="413">
        <f t="shared" si="118"/>
        <v>2105315.2780156196</v>
      </c>
      <c r="N297" s="413">
        <f t="shared" si="118"/>
        <v>2062882.6044055852</v>
      </c>
      <c r="O297" s="413">
        <f t="shared" si="118"/>
        <v>2022271.9724129327</v>
      </c>
      <c r="P297" s="413">
        <f t="shared" si="118"/>
        <v>1986574.2976394207</v>
      </c>
      <c r="Q297" s="413">
        <f t="shared" si="118"/>
        <v>1951317.5850065697</v>
      </c>
      <c r="R297" s="413">
        <f t="shared" si="118"/>
        <v>1916534.1954650059</v>
      </c>
      <c r="S297" s="413">
        <f t="shared" si="118"/>
        <v>1882196.2617138373</v>
      </c>
      <c r="T297" s="413">
        <f t="shared" si="118"/>
        <v>1848333.4008228334</v>
      </c>
      <c r="U297" s="413">
        <f t="shared" si="118"/>
        <v>1814918.6558896503</v>
      </c>
      <c r="V297" s="413">
        <f t="shared" si="118"/>
        <v>1781979.078455714</v>
      </c>
      <c r="W297" s="413">
        <f t="shared" si="118"/>
        <v>1749488.6341239186</v>
      </c>
      <c r="X297" s="413">
        <f t="shared" si="118"/>
        <v>1719086.3201338176</v>
      </c>
      <c r="Y297" s="413">
        <f t="shared" si="118"/>
        <v>1686393.8145136791</v>
      </c>
      <c r="Z297" s="413">
        <f t="shared" si="118"/>
        <v>1654925.0111411496</v>
      </c>
      <c r="AA297" s="413">
        <f t="shared" si="118"/>
        <v>1623968.7204268491</v>
      </c>
      <c r="AB297" s="413">
        <f t="shared" si="118"/>
        <v>1593498.0423918588</v>
      </c>
      <c r="AC297" s="413">
        <f t="shared" si="118"/>
        <v>1519020.518967519</v>
      </c>
    </row>
    <row r="298" spans="1:29" ht="15.75">
      <c r="C298" s="401" t="s">
        <v>182</v>
      </c>
      <c r="D298" s="418">
        <f>NPV(0.03,F278:AC278)/1000</f>
        <v>25245.541620566673</v>
      </c>
    </row>
    <row r="299" spans="1:29" ht="15.75">
      <c r="C299" s="401" t="s">
        <v>183</v>
      </c>
      <c r="D299" s="419">
        <f>IRR(F299:AC299)</f>
        <v>0.24839104926228933</v>
      </c>
      <c r="F299" s="406">
        <f>F288+F297</f>
        <v>-1260946.6762689929</v>
      </c>
      <c r="G299" s="406">
        <f t="shared" ref="G299:AC299" si="119">G288+G297</f>
        <v>-4902704.2367019737</v>
      </c>
      <c r="H299" s="406">
        <f t="shared" si="119"/>
        <v>1734657.9037645762</v>
      </c>
      <c r="I299" s="406">
        <f t="shared" si="119"/>
        <v>1676210.3697388601</v>
      </c>
      <c r="J299" s="406">
        <f t="shared" si="119"/>
        <v>1733118.211152791</v>
      </c>
      <c r="K299" s="406">
        <f t="shared" si="119"/>
        <v>1674596.6174274718</v>
      </c>
      <c r="L299" s="406">
        <f t="shared" si="119"/>
        <v>1618068.9825048856</v>
      </c>
      <c r="M299" s="406">
        <f t="shared" si="119"/>
        <v>1563461.7442352928</v>
      </c>
      <c r="N299" s="406">
        <f t="shared" si="119"/>
        <v>1531186.1542326151</v>
      </c>
      <c r="O299" s="406">
        <f t="shared" si="119"/>
        <v>1500556.9797051847</v>
      </c>
      <c r="P299" s="406">
        <f t="shared" si="119"/>
        <v>1474667.5973760646</v>
      </c>
      <c r="Q299" s="406">
        <f t="shared" si="119"/>
        <v>1449048.4624633766</v>
      </c>
      <c r="R299" s="406">
        <f t="shared" si="119"/>
        <v>1423734.3742517368</v>
      </c>
      <c r="S299" s="406">
        <f t="shared" si="119"/>
        <v>1398699.8907429946</v>
      </c>
      <c r="T299" s="406">
        <f t="shared" si="119"/>
        <v>1373977.0402760904</v>
      </c>
      <c r="U299" s="406">
        <f t="shared" si="119"/>
        <v>1349541.2622454392</v>
      </c>
      <c r="V299" s="406">
        <f t="shared" si="119"/>
        <v>1325421.9886387198</v>
      </c>
      <c r="W299" s="406">
        <f t="shared" si="119"/>
        <v>1301595.5488345984</v>
      </c>
      <c r="X299" s="406">
        <f t="shared" si="119"/>
        <v>1279578.9101335178</v>
      </c>
      <c r="Y299" s="406">
        <f t="shared" si="119"/>
        <v>1255127.7002587658</v>
      </c>
      <c r="Z299" s="406">
        <f t="shared" si="119"/>
        <v>1231757.8059375403</v>
      </c>
      <c r="AA299" s="406">
        <f t="shared" si="119"/>
        <v>1208760.0233044194</v>
      </c>
      <c r="AB299" s="406">
        <f t="shared" si="119"/>
        <v>1186109.4299658414</v>
      </c>
      <c r="AC299" s="406">
        <f t="shared" si="119"/>
        <v>1119315.5363468567</v>
      </c>
    </row>
    <row r="300" spans="1:29" ht="15.75">
      <c r="C300" s="401" t="s">
        <v>184</v>
      </c>
      <c r="D300" s="420">
        <f>SUM(D290:D296)/SUM(D284:D287)</f>
        <v>2.3921556627838263</v>
      </c>
    </row>
    <row r="303" spans="1:29" ht="14.25">
      <c r="C303" s="412" t="s">
        <v>597</v>
      </c>
      <c r="D303" s="39"/>
      <c r="E303" s="39"/>
    </row>
    <row r="304" spans="1:29" ht="15.75">
      <c r="C304" s="401" t="s">
        <v>1</v>
      </c>
      <c r="D304" s="418">
        <f>SUM(D305:D308)</f>
        <v>13674.452501586769</v>
      </c>
      <c r="E304" s="39"/>
      <c r="F304" s="39"/>
    </row>
    <row r="305" spans="3:29" ht="15.75">
      <c r="C305" s="403" t="s">
        <v>196</v>
      </c>
      <c r="D305" s="416">
        <f>-SUM(F305:AC305)/1000</f>
        <v>6043.4319606952567</v>
      </c>
      <c r="E305" s="39"/>
      <c r="F305" s="406">
        <f>F263*F$253</f>
        <v>-1071382</v>
      </c>
      <c r="G305" s="406">
        <f t="shared" ref="G305:AC305" si="120">G263*G$253</f>
        <v>-4972049.9606952565</v>
      </c>
      <c r="H305" s="406">
        <f t="shared" si="120"/>
        <v>0</v>
      </c>
      <c r="I305" s="406">
        <f t="shared" si="120"/>
        <v>0</v>
      </c>
      <c r="J305" s="406">
        <f t="shared" si="120"/>
        <v>0</v>
      </c>
      <c r="K305" s="406">
        <f t="shared" si="120"/>
        <v>0</v>
      </c>
      <c r="L305" s="406">
        <f t="shared" si="120"/>
        <v>0</v>
      </c>
      <c r="M305" s="406">
        <f t="shared" si="120"/>
        <v>0</v>
      </c>
      <c r="N305" s="406">
        <f t="shared" si="120"/>
        <v>0</v>
      </c>
      <c r="O305" s="406">
        <f t="shared" si="120"/>
        <v>0</v>
      </c>
      <c r="P305" s="406">
        <f t="shared" si="120"/>
        <v>0</v>
      </c>
      <c r="Q305" s="406">
        <f t="shared" si="120"/>
        <v>0</v>
      </c>
      <c r="R305" s="406">
        <f t="shared" si="120"/>
        <v>0</v>
      </c>
      <c r="S305" s="406">
        <f t="shared" si="120"/>
        <v>0</v>
      </c>
      <c r="T305" s="406">
        <f t="shared" si="120"/>
        <v>0</v>
      </c>
      <c r="U305" s="406">
        <f t="shared" si="120"/>
        <v>0</v>
      </c>
      <c r="V305" s="406">
        <f t="shared" si="120"/>
        <v>0</v>
      </c>
      <c r="W305" s="406">
        <f t="shared" si="120"/>
        <v>0</v>
      </c>
      <c r="X305" s="406">
        <f t="shared" si="120"/>
        <v>0</v>
      </c>
      <c r="Y305" s="406">
        <f t="shared" si="120"/>
        <v>0</v>
      </c>
      <c r="Z305" s="406">
        <f t="shared" si="120"/>
        <v>0</v>
      </c>
      <c r="AA305" s="406">
        <f t="shared" si="120"/>
        <v>0</v>
      </c>
      <c r="AB305" s="406">
        <f t="shared" si="120"/>
        <v>0</v>
      </c>
      <c r="AC305" s="406">
        <f t="shared" si="120"/>
        <v>0</v>
      </c>
    </row>
    <row r="306" spans="3:29" ht="15.75">
      <c r="C306" s="403" t="s">
        <v>197</v>
      </c>
      <c r="D306" s="416">
        <f>-SUM(F306:AC306)/1000</f>
        <v>0</v>
      </c>
      <c r="F306" s="406">
        <f t="shared" ref="F306:AC306" si="121">F264*F$253</f>
        <v>0</v>
      </c>
      <c r="G306" s="406">
        <f t="shared" si="121"/>
        <v>0</v>
      </c>
      <c r="H306" s="406">
        <f t="shared" si="121"/>
        <v>0</v>
      </c>
      <c r="I306" s="406">
        <f t="shared" si="121"/>
        <v>0</v>
      </c>
      <c r="J306" s="406">
        <f t="shared" si="121"/>
        <v>0</v>
      </c>
      <c r="K306" s="406">
        <f t="shared" si="121"/>
        <v>0</v>
      </c>
      <c r="L306" s="406">
        <f t="shared" si="121"/>
        <v>0</v>
      </c>
      <c r="M306" s="406">
        <f t="shared" si="121"/>
        <v>0</v>
      </c>
      <c r="N306" s="406">
        <f t="shared" si="121"/>
        <v>0</v>
      </c>
      <c r="O306" s="406">
        <f t="shared" si="121"/>
        <v>0</v>
      </c>
      <c r="P306" s="406">
        <f t="shared" si="121"/>
        <v>0</v>
      </c>
      <c r="Q306" s="406">
        <f t="shared" si="121"/>
        <v>0</v>
      </c>
      <c r="R306" s="406">
        <f t="shared" si="121"/>
        <v>0</v>
      </c>
      <c r="S306" s="406">
        <f t="shared" si="121"/>
        <v>0</v>
      </c>
      <c r="T306" s="406">
        <f t="shared" si="121"/>
        <v>0</v>
      </c>
      <c r="U306" s="406">
        <f t="shared" si="121"/>
        <v>0</v>
      </c>
      <c r="V306" s="406">
        <f t="shared" si="121"/>
        <v>0</v>
      </c>
      <c r="W306" s="406">
        <f t="shared" si="121"/>
        <v>0</v>
      </c>
      <c r="X306" s="406">
        <f t="shared" si="121"/>
        <v>0</v>
      </c>
      <c r="Y306" s="406">
        <f t="shared" si="121"/>
        <v>0</v>
      </c>
      <c r="Z306" s="406">
        <f t="shared" si="121"/>
        <v>0</v>
      </c>
      <c r="AA306" s="406">
        <f t="shared" si="121"/>
        <v>0</v>
      </c>
      <c r="AB306" s="406">
        <f t="shared" si="121"/>
        <v>0</v>
      </c>
      <c r="AC306" s="406">
        <f t="shared" si="121"/>
        <v>0</v>
      </c>
    </row>
    <row r="307" spans="3:29" ht="15.75">
      <c r="C307" s="404" t="s">
        <v>546</v>
      </c>
      <c r="D307" s="416">
        <f>-SUM(F307:AC307)/1000</f>
        <v>275.53534515950753</v>
      </c>
      <c r="F307" s="406">
        <f t="shared" ref="F307:AC307" si="122">F265*F$253</f>
        <v>-142426.48276361017</v>
      </c>
      <c r="G307" s="406">
        <f t="shared" si="122"/>
        <v>-133108.86239589736</v>
      </c>
      <c r="H307" s="406">
        <f t="shared" si="122"/>
        <v>0</v>
      </c>
      <c r="I307" s="406">
        <f t="shared" si="122"/>
        <v>0</v>
      </c>
      <c r="J307" s="406">
        <f t="shared" si="122"/>
        <v>0</v>
      </c>
      <c r="K307" s="406">
        <f t="shared" si="122"/>
        <v>0</v>
      </c>
      <c r="L307" s="406">
        <f t="shared" si="122"/>
        <v>0</v>
      </c>
      <c r="M307" s="406">
        <f t="shared" si="122"/>
        <v>0</v>
      </c>
      <c r="N307" s="406">
        <f t="shared" si="122"/>
        <v>0</v>
      </c>
      <c r="O307" s="406">
        <f t="shared" si="122"/>
        <v>0</v>
      </c>
      <c r="P307" s="406">
        <f t="shared" si="122"/>
        <v>0</v>
      </c>
      <c r="Q307" s="406">
        <f t="shared" si="122"/>
        <v>0</v>
      </c>
      <c r="R307" s="406">
        <f t="shared" si="122"/>
        <v>0</v>
      </c>
      <c r="S307" s="406">
        <f t="shared" si="122"/>
        <v>0</v>
      </c>
      <c r="T307" s="406">
        <f t="shared" si="122"/>
        <v>0</v>
      </c>
      <c r="U307" s="406">
        <f t="shared" si="122"/>
        <v>0</v>
      </c>
      <c r="V307" s="406">
        <f t="shared" si="122"/>
        <v>0</v>
      </c>
      <c r="W307" s="406">
        <f t="shared" si="122"/>
        <v>0</v>
      </c>
      <c r="X307" s="406">
        <f t="shared" si="122"/>
        <v>0</v>
      </c>
      <c r="Y307" s="406">
        <f t="shared" si="122"/>
        <v>0</v>
      </c>
      <c r="Z307" s="406">
        <f t="shared" si="122"/>
        <v>0</v>
      </c>
      <c r="AA307" s="406">
        <f t="shared" si="122"/>
        <v>0</v>
      </c>
      <c r="AB307" s="406">
        <f t="shared" si="122"/>
        <v>0</v>
      </c>
      <c r="AC307" s="406">
        <f t="shared" si="122"/>
        <v>0</v>
      </c>
    </row>
    <row r="308" spans="3:29" ht="15.75">
      <c r="C308" s="403" t="s">
        <v>198</v>
      </c>
      <c r="D308" s="416">
        <f>-SUM(F308:AC308)/1000</f>
        <v>7355.4851957320052</v>
      </c>
      <c r="F308" s="406">
        <f t="shared" ref="F308:AC308" si="123">F266*F$253</f>
        <v>0</v>
      </c>
      <c r="G308" s="406">
        <f t="shared" si="123"/>
        <v>-482409.52977431368</v>
      </c>
      <c r="H308" s="406">
        <f t="shared" si="123"/>
        <v>-540050.06188325083</v>
      </c>
      <c r="I308" s="406">
        <f t="shared" si="123"/>
        <v>-508420.61944681284</v>
      </c>
      <c r="J308" s="406">
        <f t="shared" si="123"/>
        <v>-478658.04837604979</v>
      </c>
      <c r="K308" s="406">
        <f t="shared" si="123"/>
        <v>-450651.22414048109</v>
      </c>
      <c r="L308" s="406">
        <f t="shared" si="123"/>
        <v>-424295.69699954108</v>
      </c>
      <c r="M308" s="406">
        <f t="shared" si="123"/>
        <v>-399493.28724912601</v>
      </c>
      <c r="N308" s="406">
        <f t="shared" si="123"/>
        <v>-377350.37331051083</v>
      </c>
      <c r="O308" s="406">
        <f t="shared" si="123"/>
        <v>-356424.69576688152</v>
      </c>
      <c r="P308" s="406">
        <f t="shared" si="123"/>
        <v>-336650.08713847265</v>
      </c>
      <c r="Q308" s="406">
        <f t="shared" si="123"/>
        <v>-317963.92149881693</v>
      </c>
      <c r="R308" s="406">
        <f t="shared" si="123"/>
        <v>-300306.92902576999</v>
      </c>
      <c r="S308" s="406">
        <f t="shared" si="123"/>
        <v>-283623.01995424536</v>
      </c>
      <c r="T308" s="406">
        <f t="shared" si="123"/>
        <v>-267859.11747770052</v>
      </c>
      <c r="U308" s="406">
        <f t="shared" si="123"/>
        <v>-252964.99916536745</v>
      </c>
      <c r="V308" s="406">
        <f t="shared" si="123"/>
        <v>-238893.14648145283</v>
      </c>
      <c r="W308" s="406">
        <f t="shared" si="123"/>
        <v>-225598.60201104876</v>
      </c>
      <c r="X308" s="406">
        <f t="shared" si="123"/>
        <v>-213099.13897850609</v>
      </c>
      <c r="Y308" s="406">
        <f t="shared" si="123"/>
        <v>-201286.32751301583</v>
      </c>
      <c r="Z308" s="406">
        <f t="shared" si="123"/>
        <v>-190122.88271404896</v>
      </c>
      <c r="AA308" s="406">
        <f t="shared" si="123"/>
        <v>-179573.51193784137</v>
      </c>
      <c r="AB308" s="406">
        <f t="shared" si="123"/>
        <v>-169604.81075117216</v>
      </c>
      <c r="AC308" s="406">
        <f t="shared" si="123"/>
        <v>-160185.1641375772</v>
      </c>
    </row>
    <row r="309" spans="3:29" ht="15.75">
      <c r="C309" s="402"/>
      <c r="D309" s="417"/>
      <c r="F309" s="414">
        <f>SUM(F305:F308)</f>
        <v>-1213808.4827636101</v>
      </c>
      <c r="G309" s="414">
        <f t="shared" ref="G309:AC309" si="124">SUM(G305:G308)</f>
        <v>-5587568.3528654678</v>
      </c>
      <c r="H309" s="414">
        <f t="shared" si="124"/>
        <v>-540050.06188325083</v>
      </c>
      <c r="I309" s="414">
        <f t="shared" si="124"/>
        <v>-508420.61944681284</v>
      </c>
      <c r="J309" s="414">
        <f t="shared" si="124"/>
        <v>-478658.04837604979</v>
      </c>
      <c r="K309" s="414">
        <f t="shared" si="124"/>
        <v>-450651.22414048109</v>
      </c>
      <c r="L309" s="414">
        <f t="shared" si="124"/>
        <v>-424295.69699954108</v>
      </c>
      <c r="M309" s="414">
        <f t="shared" si="124"/>
        <v>-399493.28724912601</v>
      </c>
      <c r="N309" s="414">
        <f t="shared" si="124"/>
        <v>-377350.37331051083</v>
      </c>
      <c r="O309" s="414">
        <f t="shared" si="124"/>
        <v>-356424.69576688152</v>
      </c>
      <c r="P309" s="414">
        <f t="shared" si="124"/>
        <v>-336650.08713847265</v>
      </c>
      <c r="Q309" s="414">
        <f t="shared" si="124"/>
        <v>-317963.92149881693</v>
      </c>
      <c r="R309" s="414">
        <f t="shared" si="124"/>
        <v>-300306.92902576999</v>
      </c>
      <c r="S309" s="414">
        <f t="shared" si="124"/>
        <v>-283623.01995424536</v>
      </c>
      <c r="T309" s="414">
        <f t="shared" si="124"/>
        <v>-267859.11747770052</v>
      </c>
      <c r="U309" s="414">
        <f t="shared" si="124"/>
        <v>-252964.99916536745</v>
      </c>
      <c r="V309" s="414">
        <f t="shared" si="124"/>
        <v>-238893.14648145283</v>
      </c>
      <c r="W309" s="414">
        <f t="shared" si="124"/>
        <v>-225598.60201104876</v>
      </c>
      <c r="X309" s="414">
        <f t="shared" si="124"/>
        <v>-213099.13897850609</v>
      </c>
      <c r="Y309" s="414">
        <f t="shared" si="124"/>
        <v>-201286.32751301583</v>
      </c>
      <c r="Z309" s="414">
        <f t="shared" si="124"/>
        <v>-190122.88271404896</v>
      </c>
      <c r="AA309" s="414">
        <f t="shared" si="124"/>
        <v>-179573.51193784137</v>
      </c>
      <c r="AB309" s="414">
        <f t="shared" si="124"/>
        <v>-169604.81075117216</v>
      </c>
      <c r="AC309" s="414">
        <f t="shared" si="124"/>
        <v>-160185.1641375772</v>
      </c>
    </row>
    <row r="310" spans="3:29" ht="15.75">
      <c r="C310" s="401" t="s">
        <v>0</v>
      </c>
      <c r="D310" s="418">
        <f>SUM(D311:D317)</f>
        <v>27831.500181836804</v>
      </c>
      <c r="F310" s="406"/>
      <c r="G310" s="406"/>
      <c r="H310" s="406"/>
      <c r="I310" s="406"/>
      <c r="J310" s="406"/>
      <c r="K310" s="406"/>
      <c r="L310" s="406"/>
      <c r="M310" s="406"/>
      <c r="N310" s="406"/>
      <c r="O310" s="406"/>
      <c r="P310" s="406"/>
      <c r="Q310" s="406"/>
      <c r="R310" s="406"/>
      <c r="S310" s="406"/>
      <c r="T310" s="406"/>
      <c r="U310" s="406"/>
      <c r="V310" s="406"/>
      <c r="W310" s="406"/>
      <c r="X310" s="406"/>
      <c r="Y310" s="406"/>
      <c r="Z310" s="406"/>
      <c r="AA310" s="406"/>
      <c r="AB310" s="406"/>
      <c r="AC310" s="406"/>
    </row>
    <row r="311" spans="3:29" ht="15.75">
      <c r="C311" s="403" t="s">
        <v>577</v>
      </c>
      <c r="D311" s="416">
        <f t="shared" ref="D311:D317" si="125">SUM(F311:AC311)/1000</f>
        <v>-1415.507104908186</v>
      </c>
      <c r="F311" s="406">
        <f>F269*F$253</f>
        <v>0</v>
      </c>
      <c r="G311" s="406">
        <f t="shared" ref="G311:AC311" si="126">G269*G$253</f>
        <v>-46113.529685154892</v>
      </c>
      <c r="H311" s="406">
        <f t="shared" si="126"/>
        <v>-205583.11104555146</v>
      </c>
      <c r="I311" s="406">
        <f t="shared" si="126"/>
        <v>-191038.38917865569</v>
      </c>
      <c r="J311" s="406">
        <f t="shared" si="126"/>
        <v>-83919.263622968851</v>
      </c>
      <c r="K311" s="406">
        <f t="shared" si="126"/>
        <v>-78103.896569777469</v>
      </c>
      <c r="L311" s="406">
        <f t="shared" si="126"/>
        <v>-72694.776600887373</v>
      </c>
      <c r="M311" s="406">
        <f t="shared" si="126"/>
        <v>-67663.373417950585</v>
      </c>
      <c r="N311" s="406">
        <f t="shared" si="126"/>
        <v>-63703.170418506328</v>
      </c>
      <c r="O311" s="406">
        <f t="shared" si="126"/>
        <v>-59963.786955081465</v>
      </c>
      <c r="P311" s="406">
        <f t="shared" si="126"/>
        <v>-56433.697630483424</v>
      </c>
      <c r="Q311" s="406">
        <f t="shared" si="126"/>
        <v>-53101.917046970171</v>
      </c>
      <c r="R311" s="406">
        <f t="shared" si="126"/>
        <v>-49957.97975596445</v>
      </c>
      <c r="S311" s="406">
        <f t="shared" si="126"/>
        <v>-46991.920447960547</v>
      </c>
      <c r="T311" s="406">
        <f t="shared" si="126"/>
        <v>-44194.254441127596</v>
      </c>
      <c r="U311" s="406">
        <f t="shared" si="126"/>
        <v>-41555.958518193511</v>
      </c>
      <c r="V311" s="406">
        <f t="shared" si="126"/>
        <v>-39068.452153202816</v>
      </c>
      <c r="W311" s="406">
        <f t="shared" si="126"/>
        <v>-36723.579162598478</v>
      </c>
      <c r="X311" s="406">
        <f t="shared" si="126"/>
        <v>-34546.61147894233</v>
      </c>
      <c r="Y311" s="406">
        <f t="shared" si="126"/>
        <v>-32492.223633275</v>
      </c>
      <c r="Z311" s="406">
        <f t="shared" si="126"/>
        <v>-30553.966764010715</v>
      </c>
      <c r="AA311" s="406">
        <f t="shared" si="126"/>
        <v>-28725.696297732073</v>
      </c>
      <c r="AB311" s="406">
        <f t="shared" si="126"/>
        <v>-27001.560559329126</v>
      </c>
      <c r="AC311" s="406">
        <f t="shared" si="126"/>
        <v>-25375.989523861223</v>
      </c>
    </row>
    <row r="312" spans="3:29" ht="15.75">
      <c r="C312" s="403" t="s">
        <v>578</v>
      </c>
      <c r="D312" s="416">
        <f t="shared" si="125"/>
        <v>6967.0876076581844</v>
      </c>
      <c r="F312" s="406">
        <f t="shared" ref="F312:AC312" si="127">F270*F$253</f>
        <v>0</v>
      </c>
      <c r="G312" s="406">
        <f t="shared" si="127"/>
        <v>356076.21507948491</v>
      </c>
      <c r="H312" s="406">
        <f t="shared" si="127"/>
        <v>524585.38096737699</v>
      </c>
      <c r="I312" s="406">
        <f t="shared" si="127"/>
        <v>492173.35227575275</v>
      </c>
      <c r="J312" s="406">
        <f t="shared" si="127"/>
        <v>461786.36023686384</v>
      </c>
      <c r="K312" s="406">
        <f t="shared" si="127"/>
        <v>433296.51920552272</v>
      </c>
      <c r="L312" s="406">
        <f t="shared" si="127"/>
        <v>406584.10169496207</v>
      </c>
      <c r="M312" s="406">
        <f t="shared" si="127"/>
        <v>381537.01310933463</v>
      </c>
      <c r="N312" s="406">
        <f t="shared" si="127"/>
        <v>360717.86625314219</v>
      </c>
      <c r="O312" s="406">
        <f t="shared" si="127"/>
        <v>341011.797723989</v>
      </c>
      <c r="P312" s="406">
        <f t="shared" si="127"/>
        <v>322361.04034287081</v>
      </c>
      <c r="Q312" s="406">
        <f t="shared" si="127"/>
        <v>304710.69061814109</v>
      </c>
      <c r="R312" s="406">
        <f t="shared" si="127"/>
        <v>288008.57741343975</v>
      </c>
      <c r="S312" s="406">
        <f t="shared" si="127"/>
        <v>272205.13576061116</v>
      </c>
      <c r="T312" s="406">
        <f t="shared" si="127"/>
        <v>257253.28569432066</v>
      </c>
      <c r="U312" s="406">
        <f t="shared" si="127"/>
        <v>243108.31597987391</v>
      </c>
      <c r="V312" s="406">
        <f t="shared" si="127"/>
        <v>229727.77260170956</v>
      </c>
      <c r="W312" s="406">
        <f t="shared" si="127"/>
        <v>217071.35187704265</v>
      </c>
      <c r="X312" s="406">
        <f t="shared" si="127"/>
        <v>205235.00322657145</v>
      </c>
      <c r="Y312" s="406">
        <f t="shared" si="127"/>
        <v>194030.65606101096</v>
      </c>
      <c r="Z312" s="406">
        <f t="shared" si="127"/>
        <v>183425.58369254548</v>
      </c>
      <c r="AA312" s="406">
        <f t="shared" si="127"/>
        <v>173388.67540140898</v>
      </c>
      <c r="AB312" s="406">
        <f t="shared" si="127"/>
        <v>163890.36288801272</v>
      </c>
      <c r="AC312" s="406">
        <f t="shared" si="127"/>
        <v>154902.54955419531</v>
      </c>
    </row>
    <row r="313" spans="3:29" ht="15.75">
      <c r="C313" s="403" t="s">
        <v>199</v>
      </c>
      <c r="D313" s="416">
        <f t="shared" si="125"/>
        <v>4283.0885719479747</v>
      </c>
      <c r="F313" s="406">
        <f t="shared" ref="F313:AC313" si="128">F271*F$253</f>
        <v>0</v>
      </c>
      <c r="G313" s="406">
        <f t="shared" si="128"/>
        <v>308562.63181208324</v>
      </c>
      <c r="H313" s="406">
        <f t="shared" si="128"/>
        <v>307026.03794382594</v>
      </c>
      <c r="I313" s="406">
        <f t="shared" si="128"/>
        <v>289972.27938477206</v>
      </c>
      <c r="J313" s="406">
        <f t="shared" si="128"/>
        <v>273865.42367461004</v>
      </c>
      <c r="K313" s="406">
        <f t="shared" si="128"/>
        <v>258652.96356215348</v>
      </c>
      <c r="L313" s="406">
        <f t="shared" si="128"/>
        <v>244285.29631173765</v>
      </c>
      <c r="M313" s="406">
        <f t="shared" si="128"/>
        <v>230715.56365013655</v>
      </c>
      <c r="N313" s="406">
        <f t="shared" si="128"/>
        <v>218137.46825728533</v>
      </c>
      <c r="O313" s="406">
        <f t="shared" si="128"/>
        <v>206245.85051364749</v>
      </c>
      <c r="P313" s="406">
        <f t="shared" si="128"/>
        <v>195003.19277610979</v>
      </c>
      <c r="Q313" s="406">
        <f t="shared" si="128"/>
        <v>184374.03190264018</v>
      </c>
      <c r="R313" s="406">
        <f t="shared" si="128"/>
        <v>174324.84641076392</v>
      </c>
      <c r="S313" s="406">
        <f t="shared" si="128"/>
        <v>164823.94986120219</v>
      </c>
      <c r="T313" s="406">
        <f t="shared" si="128"/>
        <v>155841.39012104823</v>
      </c>
      <c r="U313" s="406">
        <f t="shared" si="128"/>
        <v>147348.85418021664</v>
      </c>
      <c r="V313" s="406">
        <f t="shared" si="128"/>
        <v>139319.57821316386</v>
      </c>
      <c r="W313" s="406">
        <f t="shared" si="128"/>
        <v>131728.26259510891</v>
      </c>
      <c r="X313" s="406">
        <f t="shared" si="128"/>
        <v>124564.56460743483</v>
      </c>
      <c r="Y313" s="406">
        <f t="shared" si="128"/>
        <v>117790.83886576729</v>
      </c>
      <c r="Z313" s="406">
        <f t="shared" si="128"/>
        <v>111385.83034764827</v>
      </c>
      <c r="AA313" s="406">
        <f t="shared" si="128"/>
        <v>105329.44457401705</v>
      </c>
      <c r="AB313" s="406">
        <f t="shared" si="128"/>
        <v>99602.684069074006</v>
      </c>
      <c r="AC313" s="406">
        <f t="shared" si="128"/>
        <v>94187.588313528016</v>
      </c>
    </row>
    <row r="314" spans="3:29" ht="15.75">
      <c r="C314" s="403" t="s">
        <v>200</v>
      </c>
      <c r="D314" s="416">
        <f t="shared" si="125"/>
        <v>1353.651246093485</v>
      </c>
      <c r="F314" s="406">
        <f t="shared" ref="F314:AC314" si="129">F272*F$253</f>
        <v>0</v>
      </c>
      <c r="G314" s="406">
        <f t="shared" si="129"/>
        <v>12730.845488688979</v>
      </c>
      <c r="H314" s="406">
        <f t="shared" si="129"/>
        <v>112761.15186004186</v>
      </c>
      <c r="I314" s="406">
        <f t="shared" si="129"/>
        <v>105671.58055959622</v>
      </c>
      <c r="J314" s="406">
        <f t="shared" si="129"/>
        <v>99028.043634180489</v>
      </c>
      <c r="K314" s="406">
        <f t="shared" si="129"/>
        <v>92802.466117720396</v>
      </c>
      <c r="L314" s="406">
        <f t="shared" si="129"/>
        <v>86968.540675565935</v>
      </c>
      <c r="M314" s="406">
        <f t="shared" si="129"/>
        <v>81501.616301045404</v>
      </c>
      <c r="N314" s="406">
        <f t="shared" si="129"/>
        <v>76531.390717741888</v>
      </c>
      <c r="O314" s="406">
        <f t="shared" si="129"/>
        <v>71863.430466604477</v>
      </c>
      <c r="P314" s="406">
        <f t="shared" si="129"/>
        <v>67479.415447297259</v>
      </c>
      <c r="Q314" s="406">
        <f t="shared" si="129"/>
        <v>63362.131353284327</v>
      </c>
      <c r="R314" s="406">
        <f t="shared" si="129"/>
        <v>59495.403260019179</v>
      </c>
      <c r="S314" s="406">
        <f t="shared" si="129"/>
        <v>55864.033177512174</v>
      </c>
      <c r="T314" s="406">
        <f t="shared" si="129"/>
        <v>52453.74133237901</v>
      </c>
      <c r="U314" s="406">
        <f t="shared" si="129"/>
        <v>49251.110958262834</v>
      </c>
      <c r="V314" s="406">
        <f t="shared" si="129"/>
        <v>46243.536386513973</v>
      </c>
      <c r="W314" s="406">
        <f t="shared" si="129"/>
        <v>43419.174241247878</v>
      </c>
      <c r="X314" s="406">
        <f t="shared" si="129"/>
        <v>40774.584752870025</v>
      </c>
      <c r="Y314" s="406">
        <f t="shared" si="129"/>
        <v>37044.586291101114</v>
      </c>
      <c r="Z314" s="406">
        <f t="shared" si="129"/>
        <v>33565.780086750121</v>
      </c>
      <c r="AA314" s="406">
        <f t="shared" si="129"/>
        <v>30383.984831144997</v>
      </c>
      <c r="AB314" s="406">
        <f t="shared" si="129"/>
        <v>27475.206440552098</v>
      </c>
      <c r="AC314" s="406">
        <f t="shared" si="129"/>
        <v>6979.4917133640765</v>
      </c>
    </row>
    <row r="315" spans="3:29" ht="15.75">
      <c r="C315" s="403" t="s">
        <v>201</v>
      </c>
      <c r="D315" s="416">
        <f t="shared" si="125"/>
        <v>1569.8367911795292</v>
      </c>
      <c r="F315" s="406">
        <f t="shared" ref="F315:AC315" si="130">F273*F$253</f>
        <v>0</v>
      </c>
      <c r="G315" s="406">
        <f t="shared" si="130"/>
        <v>90867.919786460916</v>
      </c>
      <c r="H315" s="406">
        <f t="shared" si="130"/>
        <v>155650.27762111343</v>
      </c>
      <c r="I315" s="406">
        <f t="shared" si="130"/>
        <v>139019.27765710029</v>
      </c>
      <c r="J315" s="406">
        <f t="shared" si="130"/>
        <v>124002.50005627771</v>
      </c>
      <c r="K315" s="406">
        <f t="shared" si="130"/>
        <v>110344.96681129515</v>
      </c>
      <c r="L315" s="406">
        <f t="shared" si="130"/>
        <v>97948.684616958344</v>
      </c>
      <c r="M315" s="406">
        <f t="shared" si="130"/>
        <v>86702.325521429695</v>
      </c>
      <c r="N315" s="406">
        <f t="shared" si="130"/>
        <v>77324.978914356194</v>
      </c>
      <c r="O315" s="406">
        <f t="shared" si="130"/>
        <v>69501.152072482131</v>
      </c>
      <c r="P315" s="406">
        <f t="shared" si="130"/>
        <v>65121.873263864254</v>
      </c>
      <c r="Q315" s="406">
        <f t="shared" si="130"/>
        <v>60996.739291917227</v>
      </c>
      <c r="R315" s="406">
        <f t="shared" si="130"/>
        <v>57130.209954391954</v>
      </c>
      <c r="S315" s="406">
        <f t="shared" si="130"/>
        <v>53489.657083117265</v>
      </c>
      <c r="T315" s="406">
        <f t="shared" si="130"/>
        <v>50078.596296956006</v>
      </c>
      <c r="U315" s="406">
        <f t="shared" si="130"/>
        <v>46868.27689060344</v>
      </c>
      <c r="V315" s="406">
        <f t="shared" si="130"/>
        <v>43861.430110884787</v>
      </c>
      <c r="W315" s="406">
        <f t="shared" si="130"/>
        <v>41032.745513013266</v>
      </c>
      <c r="X315" s="406">
        <f t="shared" si="130"/>
        <v>38411.898699700301</v>
      </c>
      <c r="Y315" s="406">
        <f t="shared" si="130"/>
        <v>35956.093230855338</v>
      </c>
      <c r="Z315" s="406">
        <f t="shared" si="130"/>
        <v>34026.346981477313</v>
      </c>
      <c r="AA315" s="406">
        <f t="shared" si="130"/>
        <v>32202.155659955046</v>
      </c>
      <c r="AB315" s="406">
        <f t="shared" si="130"/>
        <v>30468.5419566454</v>
      </c>
      <c r="AC315" s="406">
        <f t="shared" si="130"/>
        <v>28830.143188673614</v>
      </c>
    </row>
    <row r="316" spans="3:29" ht="15.75">
      <c r="C316" s="403" t="s">
        <v>579</v>
      </c>
      <c r="D316" s="416">
        <f t="shared" si="125"/>
        <v>17.41956974853861</v>
      </c>
      <c r="F316" s="406">
        <f t="shared" ref="F316:AC316" si="131">F274*F$253</f>
        <v>0</v>
      </c>
      <c r="G316" s="406">
        <f t="shared" si="131"/>
        <v>1301.050737249074</v>
      </c>
      <c r="H316" s="406">
        <f t="shared" si="131"/>
        <v>1258.4468871553445</v>
      </c>
      <c r="I316" s="406">
        <f t="shared" si="131"/>
        <v>1187.397290655796</v>
      </c>
      <c r="J316" s="406">
        <f t="shared" si="131"/>
        <v>1120.3652059657377</v>
      </c>
      <c r="K316" s="406">
        <f t="shared" si="131"/>
        <v>1057.1230439873373</v>
      </c>
      <c r="L316" s="406">
        <f t="shared" si="131"/>
        <v>997.45613657527758</v>
      </c>
      <c r="M316" s="406">
        <f t="shared" si="131"/>
        <v>941.16200107871305</v>
      </c>
      <c r="N316" s="406">
        <f t="shared" si="131"/>
        <v>888.4792328075406</v>
      </c>
      <c r="O316" s="406">
        <f t="shared" si="131"/>
        <v>838.74188583503474</v>
      </c>
      <c r="P316" s="406">
        <f t="shared" si="131"/>
        <v>791.78554493493937</v>
      </c>
      <c r="Q316" s="406">
        <f t="shared" si="131"/>
        <v>747.45495394062164</v>
      </c>
      <c r="R316" s="406">
        <f t="shared" si="131"/>
        <v>705.60350686313984</v>
      </c>
      <c r="S316" s="406">
        <f t="shared" si="131"/>
        <v>666.0927671873286</v>
      </c>
      <c r="T316" s="406">
        <f t="shared" si="131"/>
        <v>628.79201379243227</v>
      </c>
      <c r="U316" s="406">
        <f t="shared" si="131"/>
        <v>593.57781202897752</v>
      </c>
      <c r="V316" s="406">
        <f t="shared" si="131"/>
        <v>560.33360856409536</v>
      </c>
      <c r="W316" s="406">
        <f t="shared" si="131"/>
        <v>528.94934868365203</v>
      </c>
      <c r="X316" s="406">
        <f t="shared" si="131"/>
        <v>499.34272727033704</v>
      </c>
      <c r="Y316" s="406">
        <f t="shared" si="131"/>
        <v>471.39118219377247</v>
      </c>
      <c r="Z316" s="406">
        <f t="shared" si="131"/>
        <v>445.00234228105325</v>
      </c>
      <c r="AA316" s="406">
        <f t="shared" si="131"/>
        <v>420.08898075544562</v>
      </c>
      <c r="AB316" s="406">
        <f t="shared" si="131"/>
        <v>396.56872951407667</v>
      </c>
      <c r="AC316" s="406">
        <f t="shared" si="131"/>
        <v>374.3638092188782</v>
      </c>
    </row>
    <row r="317" spans="3:29" ht="15.75">
      <c r="C317" s="403" t="s">
        <v>202</v>
      </c>
      <c r="D317" s="416">
        <f t="shared" si="125"/>
        <v>15055.923500117278</v>
      </c>
      <c r="F317" s="406">
        <f t="shared" ref="F317:AC317" si="132">F275*F$253</f>
        <v>0</v>
      </c>
      <c r="G317" s="406">
        <f t="shared" si="132"/>
        <v>321144.77024747391</v>
      </c>
      <c r="H317" s="406">
        <f t="shared" si="132"/>
        <v>1191650.6477389543</v>
      </c>
      <c r="I317" s="406">
        <f t="shared" si="132"/>
        <v>1110705.2475197273</v>
      </c>
      <c r="J317" s="406">
        <f t="shared" si="132"/>
        <v>1035277.2256253747</v>
      </c>
      <c r="K317" s="406">
        <f t="shared" si="132"/>
        <v>964989.63154171361</v>
      </c>
      <c r="L317" s="406">
        <f t="shared" si="132"/>
        <v>899491.30508638034</v>
      </c>
      <c r="M317" s="406">
        <f t="shared" si="132"/>
        <v>838455.11059600266</v>
      </c>
      <c r="N317" s="406">
        <f t="shared" si="132"/>
        <v>794151.73255383084</v>
      </c>
      <c r="O317" s="406">
        <f t="shared" si="132"/>
        <v>752076.43705582153</v>
      </c>
      <c r="P317" s="406">
        <f t="shared" si="132"/>
        <v>712126.19851792674</v>
      </c>
      <c r="Q317" s="406">
        <f t="shared" si="132"/>
        <v>674201.99786745594</v>
      </c>
      <c r="R317" s="406">
        <f t="shared" si="132"/>
        <v>638208.73576232593</v>
      </c>
      <c r="S317" s="406">
        <f t="shared" si="132"/>
        <v>604055.14021370071</v>
      </c>
      <c r="T317" s="406">
        <f t="shared" si="132"/>
        <v>571653.66970469989</v>
      </c>
      <c r="U317" s="406">
        <f t="shared" si="132"/>
        <v>540920.4127794524</v>
      </c>
      <c r="V317" s="406">
        <f t="shared" si="132"/>
        <v>511774.98496915464</v>
      </c>
      <c r="W317" s="406">
        <f t="shared" si="132"/>
        <v>484140.42382405413</v>
      </c>
      <c r="X317" s="406">
        <f t="shared" si="132"/>
        <v>458575.75286279229</v>
      </c>
      <c r="Y317" s="406">
        <f t="shared" si="132"/>
        <v>434295.08511343424</v>
      </c>
      <c r="Z317" s="406">
        <f t="shared" si="132"/>
        <v>411239.20836251765</v>
      </c>
      <c r="AA317" s="406">
        <f t="shared" si="132"/>
        <v>389351.19748053805</v>
      </c>
      <c r="AB317" s="406">
        <f t="shared" si="132"/>
        <v>368576.36663226341</v>
      </c>
      <c r="AC317" s="406">
        <f t="shared" si="132"/>
        <v>348862.21806168428</v>
      </c>
    </row>
    <row r="318" spans="3:29" ht="15.75">
      <c r="C318" s="402"/>
      <c r="D318" s="417"/>
      <c r="F318" s="413">
        <f>SUM(F311:F317)</f>
        <v>0</v>
      </c>
      <c r="G318" s="413">
        <f t="shared" ref="G318:AC318" si="133">SUM(G311:G317)</f>
        <v>1044569.9034662861</v>
      </c>
      <c r="H318" s="413">
        <f t="shared" si="133"/>
        <v>2087348.8319729164</v>
      </c>
      <c r="I318" s="413">
        <f t="shared" si="133"/>
        <v>1947690.7455089488</v>
      </c>
      <c r="J318" s="413">
        <f t="shared" si="133"/>
        <v>1911160.6548103036</v>
      </c>
      <c r="K318" s="413">
        <f t="shared" si="133"/>
        <v>1783039.773712615</v>
      </c>
      <c r="L318" s="413">
        <f t="shared" si="133"/>
        <v>1663580.6079212923</v>
      </c>
      <c r="M318" s="413">
        <f t="shared" si="133"/>
        <v>1552189.4177610772</v>
      </c>
      <c r="N318" s="413">
        <f t="shared" si="133"/>
        <v>1464048.7455106578</v>
      </c>
      <c r="O318" s="413">
        <f t="shared" si="133"/>
        <v>1381573.6227632985</v>
      </c>
      <c r="P318" s="413">
        <f t="shared" si="133"/>
        <v>1306449.8082625202</v>
      </c>
      <c r="Q318" s="413">
        <f t="shared" si="133"/>
        <v>1235291.128940409</v>
      </c>
      <c r="R318" s="413">
        <f t="shared" si="133"/>
        <v>1167915.3965518395</v>
      </c>
      <c r="S318" s="413">
        <f t="shared" si="133"/>
        <v>1104112.0884153703</v>
      </c>
      <c r="T318" s="413">
        <f t="shared" si="133"/>
        <v>1043715.2207220686</v>
      </c>
      <c r="U318" s="413">
        <f t="shared" si="133"/>
        <v>986534.59008224471</v>
      </c>
      <c r="V318" s="413">
        <f t="shared" si="133"/>
        <v>932419.18373678811</v>
      </c>
      <c r="W318" s="413">
        <f t="shared" si="133"/>
        <v>881197.32823655196</v>
      </c>
      <c r="X318" s="413">
        <f t="shared" si="133"/>
        <v>833514.53539769689</v>
      </c>
      <c r="Y318" s="413">
        <f t="shared" si="133"/>
        <v>787096.42711108772</v>
      </c>
      <c r="Z318" s="413">
        <f t="shared" si="133"/>
        <v>743533.78504920914</v>
      </c>
      <c r="AA318" s="413">
        <f t="shared" si="133"/>
        <v>702349.85063008755</v>
      </c>
      <c r="AB318" s="413">
        <f t="shared" si="133"/>
        <v>663408.17015673255</v>
      </c>
      <c r="AC318" s="413">
        <f t="shared" si="133"/>
        <v>608760.36511680298</v>
      </c>
    </row>
    <row r="319" spans="3:29" ht="15.75">
      <c r="C319" s="401" t="s">
        <v>182</v>
      </c>
      <c r="D319" s="418">
        <f>NPV(0.07,F278:AC278)/1000</f>
        <v>14157.04768025004</v>
      </c>
    </row>
    <row r="320" spans="3:29" ht="15.75">
      <c r="C320" s="401" t="s">
        <v>183</v>
      </c>
      <c r="D320" s="419">
        <f>IRR(F320:AC320)</f>
        <v>0.20172222499080239</v>
      </c>
      <c r="F320" s="406">
        <f>F309+F318</f>
        <v>-1213808.4827636101</v>
      </c>
      <c r="G320" s="406">
        <f t="shared" ref="G320:AC320" si="134">G309+G318</f>
        <v>-4542998.4493991816</v>
      </c>
      <c r="H320" s="406">
        <f t="shared" si="134"/>
        <v>1547298.7700896654</v>
      </c>
      <c r="I320" s="406">
        <f t="shared" si="134"/>
        <v>1439270.1260621359</v>
      </c>
      <c r="J320" s="406">
        <f t="shared" si="134"/>
        <v>1432502.6064342537</v>
      </c>
      <c r="K320" s="406">
        <f t="shared" si="134"/>
        <v>1332388.5495721339</v>
      </c>
      <c r="L320" s="406">
        <f t="shared" si="134"/>
        <v>1239284.9109217513</v>
      </c>
      <c r="M320" s="406">
        <f t="shared" si="134"/>
        <v>1152696.1305119512</v>
      </c>
      <c r="N320" s="406">
        <f t="shared" si="134"/>
        <v>1086698.372200147</v>
      </c>
      <c r="O320" s="406">
        <f t="shared" si="134"/>
        <v>1025148.9269964169</v>
      </c>
      <c r="P320" s="406">
        <f t="shared" si="134"/>
        <v>969799.72112404765</v>
      </c>
      <c r="Q320" s="406">
        <f t="shared" si="134"/>
        <v>917327.20744159212</v>
      </c>
      <c r="R320" s="406">
        <f t="shared" si="134"/>
        <v>867608.46752606961</v>
      </c>
      <c r="S320" s="406">
        <f t="shared" si="134"/>
        <v>820489.06846112502</v>
      </c>
      <c r="T320" s="406">
        <f t="shared" si="134"/>
        <v>775856.10324436799</v>
      </c>
      <c r="U320" s="406">
        <f t="shared" si="134"/>
        <v>733569.59091687726</v>
      </c>
      <c r="V320" s="406">
        <f t="shared" si="134"/>
        <v>693526.03725533525</v>
      </c>
      <c r="W320" s="406">
        <f t="shared" si="134"/>
        <v>655598.72622550325</v>
      </c>
      <c r="X320" s="406">
        <f t="shared" si="134"/>
        <v>620415.3964191908</v>
      </c>
      <c r="Y320" s="406">
        <f t="shared" si="134"/>
        <v>585810.09959807189</v>
      </c>
      <c r="Z320" s="406">
        <f t="shared" si="134"/>
        <v>553410.90233516018</v>
      </c>
      <c r="AA320" s="406">
        <f t="shared" si="134"/>
        <v>522776.33869224618</v>
      </c>
      <c r="AB320" s="406">
        <f t="shared" si="134"/>
        <v>493803.35940556042</v>
      </c>
      <c r="AC320" s="406">
        <f t="shared" si="134"/>
        <v>448575.2009792258</v>
      </c>
    </row>
    <row r="321" spans="3:4" ht="15.75">
      <c r="C321" s="401" t="s">
        <v>184</v>
      </c>
      <c r="D321" s="420">
        <f>SUM(D311:D317)/SUM(D305:D308)</f>
        <v>2.0352917368068129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Z135"/>
  <sheetViews>
    <sheetView zoomScale="75" zoomScaleNormal="75" workbookViewId="0"/>
  </sheetViews>
  <sheetFormatPr defaultRowHeight="12.75"/>
  <cols>
    <col min="1" max="1" width="22" customWidth="1"/>
    <col min="2" max="2" width="27.42578125" customWidth="1"/>
    <col min="3" max="3" width="20.85546875" customWidth="1"/>
    <col min="4" max="6" width="14.28515625" customWidth="1"/>
    <col min="7" max="7" width="15.42578125" style="74" customWidth="1"/>
    <col min="8" max="8" width="11.5703125" bestFit="1" customWidth="1"/>
    <col min="9" max="9" width="15.42578125" style="74" customWidth="1"/>
    <col min="10" max="10" width="10.42578125" customWidth="1"/>
    <col min="11" max="11" width="11.140625" bestFit="1" customWidth="1"/>
    <col min="12" max="12" width="10.85546875" bestFit="1" customWidth="1"/>
    <col min="13" max="19" width="11.7109375" customWidth="1"/>
    <col min="20" max="26" width="10.42578125" customWidth="1"/>
  </cols>
  <sheetData>
    <row r="1" spans="1:26">
      <c r="G1"/>
      <c r="I1"/>
    </row>
    <row r="2" spans="1:26">
      <c r="A2" s="3" t="s">
        <v>390</v>
      </c>
      <c r="C2" s="75">
        <v>2013</v>
      </c>
      <c r="D2" s="75">
        <v>2014</v>
      </c>
      <c r="E2" s="75">
        <v>2015</v>
      </c>
      <c r="F2" s="75">
        <v>2016</v>
      </c>
      <c r="G2" s="75">
        <v>2017</v>
      </c>
      <c r="H2" s="75">
        <v>2018</v>
      </c>
      <c r="I2" s="75">
        <v>2019</v>
      </c>
      <c r="J2" s="75">
        <v>2020</v>
      </c>
      <c r="K2" s="75">
        <v>2021</v>
      </c>
      <c r="L2" s="75">
        <v>2022</v>
      </c>
      <c r="M2" s="75">
        <v>2023</v>
      </c>
      <c r="N2" s="75">
        <v>2024</v>
      </c>
      <c r="O2" s="75">
        <v>2025</v>
      </c>
      <c r="P2" s="75">
        <v>2026</v>
      </c>
      <c r="Q2" s="75">
        <v>2027</v>
      </c>
      <c r="R2" s="75">
        <v>2028</v>
      </c>
      <c r="S2" s="75">
        <v>2029</v>
      </c>
      <c r="T2" s="75">
        <v>2030</v>
      </c>
      <c r="U2" s="75">
        <v>2031</v>
      </c>
      <c r="V2" s="75">
        <v>2032</v>
      </c>
      <c r="W2" s="75">
        <v>2033</v>
      </c>
      <c r="X2" s="75">
        <v>2034</v>
      </c>
      <c r="Y2" s="75">
        <v>2035</v>
      </c>
      <c r="Z2" s="75">
        <v>2036</v>
      </c>
    </row>
    <row r="3" spans="1:26">
      <c r="C3" s="75" t="s">
        <v>18</v>
      </c>
      <c r="D3" s="72" t="s">
        <v>19</v>
      </c>
      <c r="E3" s="72" t="s">
        <v>20</v>
      </c>
      <c r="F3" s="72" t="s">
        <v>21</v>
      </c>
      <c r="G3" s="72" t="s">
        <v>22</v>
      </c>
      <c r="H3" s="72" t="s">
        <v>23</v>
      </c>
      <c r="I3" s="72" t="s">
        <v>24</v>
      </c>
      <c r="J3" s="72" t="s">
        <v>25</v>
      </c>
      <c r="K3" s="72" t="s">
        <v>26</v>
      </c>
      <c r="L3" s="72" t="s">
        <v>27</v>
      </c>
      <c r="M3" s="72" t="s">
        <v>28</v>
      </c>
      <c r="N3" s="72" t="s">
        <v>29</v>
      </c>
      <c r="O3" s="72" t="s">
        <v>30</v>
      </c>
      <c r="P3" s="72" t="s">
        <v>31</v>
      </c>
      <c r="Q3" s="72" t="s">
        <v>32</v>
      </c>
      <c r="R3" s="72" t="s">
        <v>33</v>
      </c>
      <c r="S3" s="72" t="s">
        <v>34</v>
      </c>
      <c r="T3" s="72" t="s">
        <v>35</v>
      </c>
      <c r="U3" s="72" t="s">
        <v>36</v>
      </c>
      <c r="V3" s="72" t="s">
        <v>123</v>
      </c>
      <c r="W3" s="72" t="s">
        <v>242</v>
      </c>
      <c r="X3" s="72" t="s">
        <v>243</v>
      </c>
      <c r="Y3" s="72" t="s">
        <v>244</v>
      </c>
      <c r="Z3" s="72" t="s">
        <v>245</v>
      </c>
    </row>
    <row r="4" spans="1:26">
      <c r="A4" s="5" t="s">
        <v>351</v>
      </c>
      <c r="B4" s="53"/>
      <c r="G4"/>
      <c r="I4"/>
    </row>
    <row r="5" spans="1:26">
      <c r="A5" s="70" t="s">
        <v>350</v>
      </c>
      <c r="B5" s="70" t="s">
        <v>350</v>
      </c>
      <c r="D5" s="124"/>
      <c r="E5" s="34">
        <f>E72</f>
        <v>3657661.424739223</v>
      </c>
      <c r="F5" s="34">
        <f t="shared" ref="F5:Z5" si="0">F72</f>
        <v>3632025.6792855039</v>
      </c>
      <c r="G5" s="34">
        <f t="shared" si="0"/>
        <v>3606389.9338317844</v>
      </c>
      <c r="H5" s="34">
        <f t="shared" si="0"/>
        <v>3580754.1883780649</v>
      </c>
      <c r="I5" s="34">
        <f t="shared" si="0"/>
        <v>3555118.4429243449</v>
      </c>
      <c r="J5" s="34">
        <f t="shared" si="0"/>
        <v>3529482.6974706259</v>
      </c>
      <c r="K5" s="34">
        <f t="shared" si="0"/>
        <v>3581536.9486241629</v>
      </c>
      <c r="L5" s="34">
        <f t="shared" si="0"/>
        <v>3633591.1997777</v>
      </c>
      <c r="M5" s="34">
        <f t="shared" si="0"/>
        <v>3685645.4509312371</v>
      </c>
      <c r="N5" s="34">
        <f t="shared" si="0"/>
        <v>3737699.7020847746</v>
      </c>
      <c r="O5" s="34">
        <f t="shared" si="0"/>
        <v>3789753.9532383112</v>
      </c>
      <c r="P5" s="34">
        <f t="shared" si="0"/>
        <v>3841808.2043918483</v>
      </c>
      <c r="Q5" s="34">
        <f t="shared" si="0"/>
        <v>3893862.4555453863</v>
      </c>
      <c r="R5" s="34">
        <f t="shared" si="0"/>
        <v>3945916.7066989229</v>
      </c>
      <c r="S5" s="34">
        <f t="shared" si="0"/>
        <v>3997970.9578524609</v>
      </c>
      <c r="T5" s="34">
        <f t="shared" si="0"/>
        <v>4050025.2090059975</v>
      </c>
      <c r="U5" s="34">
        <f t="shared" si="0"/>
        <v>4109768.2325304905</v>
      </c>
      <c r="V5" s="34">
        <f t="shared" si="0"/>
        <v>4169511.2560549839</v>
      </c>
      <c r="W5" s="34">
        <f t="shared" si="0"/>
        <v>4229254.2795794765</v>
      </c>
      <c r="X5" s="34">
        <f t="shared" si="0"/>
        <v>4288997.3031039704</v>
      </c>
      <c r="Y5" s="34">
        <f t="shared" si="0"/>
        <v>4348740.3266284633</v>
      </c>
      <c r="Z5" s="34">
        <f t="shared" si="0"/>
        <v>4408483.3501529573</v>
      </c>
    </row>
    <row r="6" spans="1:26">
      <c r="A6" s="70" t="s">
        <v>408</v>
      </c>
      <c r="B6" s="54" t="s">
        <v>409</v>
      </c>
      <c r="E6" s="189">
        <f>E74</f>
        <v>36576.61424739223</v>
      </c>
      <c r="F6" s="189">
        <f t="shared" ref="F6:Z6" si="1">F74</f>
        <v>36320.256792855042</v>
      </c>
      <c r="G6" s="189">
        <f t="shared" si="1"/>
        <v>36063.899338317846</v>
      </c>
      <c r="H6" s="189">
        <f t="shared" si="1"/>
        <v>35807.54188378065</v>
      </c>
      <c r="I6" s="189">
        <f t="shared" si="1"/>
        <v>35551.184429243447</v>
      </c>
      <c r="J6" s="189">
        <f t="shared" si="1"/>
        <v>35294.826974706259</v>
      </c>
      <c r="K6" s="189">
        <f t="shared" si="1"/>
        <v>35815.369486241631</v>
      </c>
      <c r="L6" s="189">
        <f t="shared" si="1"/>
        <v>36335.911997777002</v>
      </c>
      <c r="M6" s="189">
        <f t="shared" si="1"/>
        <v>36856.454509312374</v>
      </c>
      <c r="N6" s="189">
        <f t="shared" si="1"/>
        <v>37376.997020847746</v>
      </c>
      <c r="O6" s="189">
        <f t="shared" si="1"/>
        <v>37897.539532383111</v>
      </c>
      <c r="P6" s="189">
        <f t="shared" si="1"/>
        <v>38418.082043918483</v>
      </c>
      <c r="Q6" s="189">
        <f t="shared" si="1"/>
        <v>38938.624555453862</v>
      </c>
      <c r="R6" s="189">
        <f t="shared" si="1"/>
        <v>39459.167066989226</v>
      </c>
      <c r="S6" s="189">
        <f t="shared" si="1"/>
        <v>39979.709578524613</v>
      </c>
      <c r="T6" s="189">
        <f t="shared" si="1"/>
        <v>40500.252090059977</v>
      </c>
      <c r="U6" s="189">
        <f t="shared" si="1"/>
        <v>41097.682325304908</v>
      </c>
      <c r="V6" s="189">
        <f t="shared" si="1"/>
        <v>41695.112560549838</v>
      </c>
      <c r="W6" s="189">
        <f t="shared" si="1"/>
        <v>42292.542795794769</v>
      </c>
      <c r="X6" s="189">
        <f t="shared" si="1"/>
        <v>42889.973031039706</v>
      </c>
      <c r="Y6" s="189">
        <f t="shared" si="1"/>
        <v>43487.403266284637</v>
      </c>
      <c r="Z6" s="189">
        <f t="shared" si="1"/>
        <v>44084.833501529574</v>
      </c>
    </row>
    <row r="7" spans="1:26">
      <c r="A7" s="70"/>
      <c r="B7" s="78" t="s">
        <v>402</v>
      </c>
      <c r="E7" s="189">
        <f>E75</f>
        <v>36576.61424739223</v>
      </c>
      <c r="F7" s="189">
        <f t="shared" ref="F7:Z7" si="2">F75</f>
        <v>36320.256792855042</v>
      </c>
      <c r="G7" s="189">
        <f t="shared" si="2"/>
        <v>36063.899338317846</v>
      </c>
      <c r="H7" s="189">
        <f t="shared" si="2"/>
        <v>35807.54188378065</v>
      </c>
      <c r="I7" s="189">
        <f t="shared" si="2"/>
        <v>35551.184429243447</v>
      </c>
      <c r="J7" s="189">
        <f t="shared" si="2"/>
        <v>35294.826974706259</v>
      </c>
      <c r="K7" s="189">
        <f t="shared" si="2"/>
        <v>35815.369486241631</v>
      </c>
      <c r="L7" s="189">
        <f t="shared" si="2"/>
        <v>36335.911997777002</v>
      </c>
      <c r="M7" s="189">
        <f t="shared" si="2"/>
        <v>36856.454509312374</v>
      </c>
      <c r="N7" s="189">
        <f t="shared" si="2"/>
        <v>37376.997020847746</v>
      </c>
      <c r="O7" s="189">
        <f t="shared" si="2"/>
        <v>37897.539532383111</v>
      </c>
      <c r="P7" s="189">
        <f t="shared" si="2"/>
        <v>38418.082043918483</v>
      </c>
      <c r="Q7" s="189">
        <f t="shared" si="2"/>
        <v>38938.624555453862</v>
      </c>
      <c r="R7" s="189">
        <f t="shared" si="2"/>
        <v>39459.167066989226</v>
      </c>
      <c r="S7" s="189">
        <f t="shared" si="2"/>
        <v>39979.709578524613</v>
      </c>
      <c r="T7" s="189">
        <f t="shared" si="2"/>
        <v>40500.252090059977</v>
      </c>
      <c r="U7" s="189">
        <f t="shared" si="2"/>
        <v>41097.682325304908</v>
      </c>
      <c r="V7" s="189">
        <f t="shared" si="2"/>
        <v>41695.112560549838</v>
      </c>
      <c r="W7" s="189">
        <f t="shared" si="2"/>
        <v>42292.542795794769</v>
      </c>
      <c r="X7" s="189">
        <f t="shared" si="2"/>
        <v>42889.973031039706</v>
      </c>
      <c r="Y7" s="189">
        <f t="shared" si="2"/>
        <v>43487.403266284637</v>
      </c>
      <c r="Z7" s="189">
        <f t="shared" si="2"/>
        <v>44084.833501529574</v>
      </c>
    </row>
    <row r="8" spans="1:26">
      <c r="A8" s="70"/>
      <c r="B8" s="53"/>
      <c r="G8"/>
      <c r="I8"/>
    </row>
    <row r="9" spans="1:26">
      <c r="A9" s="5" t="s">
        <v>261</v>
      </c>
      <c r="B9" s="53"/>
      <c r="G9"/>
      <c r="I9"/>
    </row>
    <row r="10" spans="1:26">
      <c r="A10" s="70" t="s">
        <v>350</v>
      </c>
      <c r="B10" s="70" t="s">
        <v>350</v>
      </c>
      <c r="D10" s="34"/>
      <c r="E10" s="34">
        <f>E79</f>
        <v>42708.548291968182</v>
      </c>
      <c r="F10" s="34">
        <f t="shared" ref="F10:Z10" si="3">F79</f>
        <v>42409.2134587041</v>
      </c>
      <c r="G10" s="34">
        <f t="shared" si="3"/>
        <v>42109.878625440018</v>
      </c>
      <c r="H10" s="34">
        <f t="shared" si="3"/>
        <v>41810.543792175937</v>
      </c>
      <c r="I10" s="34">
        <f t="shared" si="3"/>
        <v>41511.208958911848</v>
      </c>
      <c r="J10" s="34">
        <f t="shared" si="3"/>
        <v>41211.874125647766</v>
      </c>
      <c r="K10" s="34">
        <f t="shared" si="3"/>
        <v>41819.683663227261</v>
      </c>
      <c r="L10" s="34">
        <f t="shared" si="3"/>
        <v>42427.493200806741</v>
      </c>
      <c r="M10" s="34">
        <f t="shared" si="3"/>
        <v>43035.302738386235</v>
      </c>
      <c r="N10" s="34">
        <f t="shared" si="3"/>
        <v>43643.11227596573</v>
      </c>
      <c r="O10" s="34">
        <f t="shared" si="3"/>
        <v>44250.92181354521</v>
      </c>
      <c r="P10" s="34">
        <f t="shared" si="3"/>
        <v>44858.731351124698</v>
      </c>
      <c r="Q10" s="34">
        <f t="shared" si="3"/>
        <v>45466.540888704185</v>
      </c>
      <c r="R10" s="34">
        <f t="shared" si="3"/>
        <v>46074.350426283687</v>
      </c>
      <c r="S10" s="34">
        <f t="shared" si="3"/>
        <v>46682.159963863174</v>
      </c>
      <c r="T10" s="34">
        <f t="shared" si="3"/>
        <v>47289.969501442669</v>
      </c>
      <c r="U10" s="34">
        <f t="shared" si="3"/>
        <v>47987.556705125928</v>
      </c>
      <c r="V10" s="34">
        <f t="shared" si="3"/>
        <v>48685.143908809208</v>
      </c>
      <c r="W10" s="34">
        <f t="shared" si="3"/>
        <v>49382.731112492474</v>
      </c>
      <c r="X10" s="34">
        <f t="shared" si="3"/>
        <v>50080.318316175755</v>
      </c>
      <c r="Y10" s="34">
        <f t="shared" si="3"/>
        <v>50777.905519859021</v>
      </c>
      <c r="Z10" s="34">
        <f t="shared" si="3"/>
        <v>51475.492723542295</v>
      </c>
    </row>
    <row r="11" spans="1:26">
      <c r="A11" s="70" t="s">
        <v>399</v>
      </c>
      <c r="B11" s="54" t="s">
        <v>417</v>
      </c>
      <c r="E11" s="34">
        <f>E81</f>
        <v>1708.3419316787274</v>
      </c>
      <c r="F11" s="34">
        <f t="shared" ref="F11:Z11" si="4">F81</f>
        <v>1696.3685383481641</v>
      </c>
      <c r="G11" s="34">
        <f t="shared" si="4"/>
        <v>1684.3951450176007</v>
      </c>
      <c r="H11" s="34">
        <f t="shared" si="4"/>
        <v>1672.4217516870376</v>
      </c>
      <c r="I11" s="34">
        <f t="shared" si="4"/>
        <v>1660.448358356474</v>
      </c>
      <c r="J11" s="34">
        <f t="shared" si="4"/>
        <v>1648.4749650259107</v>
      </c>
      <c r="K11" s="34">
        <f t="shared" si="4"/>
        <v>1672.7873465290904</v>
      </c>
      <c r="L11" s="34">
        <f t="shared" si="4"/>
        <v>1697.0997280322697</v>
      </c>
      <c r="M11" s="34">
        <f t="shared" si="4"/>
        <v>1721.4121095354494</v>
      </c>
      <c r="N11" s="34">
        <f t="shared" si="4"/>
        <v>1745.7244910386291</v>
      </c>
      <c r="O11" s="34">
        <f t="shared" si="4"/>
        <v>1770.0368725418084</v>
      </c>
      <c r="P11" s="34">
        <f t="shared" si="4"/>
        <v>1794.3492540449879</v>
      </c>
      <c r="Q11" s="34">
        <f t="shared" si="4"/>
        <v>1818.6616355481674</v>
      </c>
      <c r="R11" s="34">
        <f t="shared" si="4"/>
        <v>1842.9740170513476</v>
      </c>
      <c r="S11" s="34">
        <f t="shared" si="4"/>
        <v>1867.2863985545271</v>
      </c>
      <c r="T11" s="34">
        <f t="shared" si="4"/>
        <v>1891.5987800577068</v>
      </c>
      <c r="U11" s="34">
        <f t="shared" si="4"/>
        <v>1919.5022682050371</v>
      </c>
      <c r="V11" s="34">
        <f t="shared" si="4"/>
        <v>1947.4057563523684</v>
      </c>
      <c r="W11" s="34">
        <f t="shared" si="4"/>
        <v>1975.3092444996989</v>
      </c>
      <c r="X11" s="34">
        <f t="shared" si="4"/>
        <v>2003.2127326470302</v>
      </c>
      <c r="Y11" s="34">
        <f t="shared" si="4"/>
        <v>2031.116220794361</v>
      </c>
      <c r="Z11" s="34">
        <f t="shared" si="4"/>
        <v>2059.019708941692</v>
      </c>
    </row>
    <row r="12" spans="1:26">
      <c r="A12" s="70"/>
      <c r="B12" s="78" t="s">
        <v>411</v>
      </c>
      <c r="E12" s="189">
        <f>E82</f>
        <v>1708.3419316787274</v>
      </c>
      <c r="F12" s="189">
        <f t="shared" ref="F12:Z12" si="5">F82</f>
        <v>1696.3685383481641</v>
      </c>
      <c r="G12" s="189">
        <f t="shared" si="5"/>
        <v>1684.3951450176007</v>
      </c>
      <c r="H12" s="189">
        <f t="shared" si="5"/>
        <v>1672.4217516870376</v>
      </c>
      <c r="I12" s="189">
        <f t="shared" si="5"/>
        <v>1660.448358356474</v>
      </c>
      <c r="J12" s="189">
        <f t="shared" si="5"/>
        <v>1648.4749650259107</v>
      </c>
      <c r="K12" s="189">
        <f t="shared" si="5"/>
        <v>1672.7873465290904</v>
      </c>
      <c r="L12" s="189">
        <f t="shared" si="5"/>
        <v>1697.0997280322697</v>
      </c>
      <c r="M12" s="189">
        <f t="shared" si="5"/>
        <v>1721.4121095354494</v>
      </c>
      <c r="N12" s="189">
        <f t="shared" si="5"/>
        <v>1745.7244910386291</v>
      </c>
      <c r="O12" s="189">
        <f t="shared" si="5"/>
        <v>1770.0368725418084</v>
      </c>
      <c r="P12" s="189">
        <f t="shared" si="5"/>
        <v>1794.3492540449879</v>
      </c>
      <c r="Q12" s="189">
        <f t="shared" si="5"/>
        <v>1818.6616355481674</v>
      </c>
      <c r="R12" s="189">
        <f t="shared" si="5"/>
        <v>1842.9740170513476</v>
      </c>
      <c r="S12" s="189">
        <f t="shared" si="5"/>
        <v>1867.2863985545271</v>
      </c>
      <c r="T12" s="189">
        <f t="shared" si="5"/>
        <v>1891.5987800577068</v>
      </c>
      <c r="U12" s="189">
        <f t="shared" si="5"/>
        <v>1919.5022682050371</v>
      </c>
      <c r="V12" s="189">
        <f t="shared" si="5"/>
        <v>1947.4057563523684</v>
      </c>
      <c r="W12" s="189">
        <f t="shared" si="5"/>
        <v>1975.3092444996989</v>
      </c>
      <c r="X12" s="189">
        <f t="shared" si="5"/>
        <v>2003.2127326470302</v>
      </c>
      <c r="Y12" s="189">
        <f t="shared" si="5"/>
        <v>2031.116220794361</v>
      </c>
      <c r="Z12" s="189">
        <f t="shared" si="5"/>
        <v>2059.019708941692</v>
      </c>
    </row>
    <row r="13" spans="1:26">
      <c r="A13" s="70"/>
      <c r="B13" s="48"/>
      <c r="G13"/>
      <c r="I13"/>
    </row>
    <row r="14" spans="1:26">
      <c r="A14" s="5" t="s">
        <v>397</v>
      </c>
      <c r="B14" s="53"/>
      <c r="G14"/>
      <c r="I14"/>
    </row>
    <row r="15" spans="1:26">
      <c r="A15" s="70" t="s">
        <v>399</v>
      </c>
      <c r="B15" s="47" t="s">
        <v>95</v>
      </c>
      <c r="D15" s="34">
        <f>D88</f>
        <v>18250</v>
      </c>
      <c r="E15" s="34">
        <f t="shared" ref="E15:Z15" si="6">E88</f>
        <v>18432.5</v>
      </c>
      <c r="F15" s="34">
        <f t="shared" si="6"/>
        <v>18616.825000000001</v>
      </c>
      <c r="G15" s="34">
        <f t="shared" si="6"/>
        <v>18802.993250000003</v>
      </c>
      <c r="H15" s="34">
        <f t="shared" si="6"/>
        <v>18991.023182500001</v>
      </c>
      <c r="I15" s="34">
        <f t="shared" si="6"/>
        <v>19180.933414324998</v>
      </c>
      <c r="J15" s="34">
        <f t="shared" si="6"/>
        <v>19372.742748468252</v>
      </c>
      <c r="K15" s="34">
        <f t="shared" si="6"/>
        <v>19566.470175952938</v>
      </c>
      <c r="L15" s="34">
        <f t="shared" si="6"/>
        <v>19762.134877712466</v>
      </c>
      <c r="M15" s="34">
        <f t="shared" si="6"/>
        <v>19959.75622648959</v>
      </c>
      <c r="N15" s="34">
        <f t="shared" si="6"/>
        <v>20159.353788754484</v>
      </c>
      <c r="O15" s="34">
        <f t="shared" si="6"/>
        <v>20360.947326642028</v>
      </c>
      <c r="P15" s="34">
        <f t="shared" si="6"/>
        <v>20564.556799908452</v>
      </c>
      <c r="Q15" s="34">
        <f t="shared" si="6"/>
        <v>20770.202367907536</v>
      </c>
      <c r="R15" s="34">
        <f t="shared" si="6"/>
        <v>20977.90439158661</v>
      </c>
      <c r="S15" s="34">
        <f t="shared" si="6"/>
        <v>21187.683435502477</v>
      </c>
      <c r="T15" s="34">
        <f t="shared" si="6"/>
        <v>21399.560269857502</v>
      </c>
      <c r="U15" s="34">
        <f t="shared" si="6"/>
        <v>21613.555872556077</v>
      </c>
      <c r="V15" s="34">
        <f t="shared" si="6"/>
        <v>21829.691431281637</v>
      </c>
      <c r="W15" s="34">
        <f t="shared" si="6"/>
        <v>22047.988345594455</v>
      </c>
      <c r="X15" s="34">
        <f t="shared" si="6"/>
        <v>22268.468229050399</v>
      </c>
      <c r="Y15" s="34">
        <f t="shared" si="6"/>
        <v>22491.152911340905</v>
      </c>
      <c r="Z15" s="34">
        <f t="shared" si="6"/>
        <v>22716.064440454316</v>
      </c>
    </row>
    <row r="16" spans="1:26">
      <c r="A16" s="70"/>
      <c r="B16" s="78" t="s">
        <v>493</v>
      </c>
      <c r="D16" s="34">
        <f t="shared" ref="D16:Z16" si="7">D89</f>
        <v>27375</v>
      </c>
      <c r="E16" s="34">
        <f t="shared" si="7"/>
        <v>27648.75</v>
      </c>
      <c r="F16" s="34">
        <f t="shared" si="7"/>
        <v>27925.237499999999</v>
      </c>
      <c r="G16" s="34">
        <f t="shared" si="7"/>
        <v>28204.489875000003</v>
      </c>
      <c r="H16" s="34">
        <f t="shared" si="7"/>
        <v>28486.534773749998</v>
      </c>
      <c r="I16" s="34">
        <f t="shared" si="7"/>
        <v>28771.400121487499</v>
      </c>
      <c r="J16" s="34">
        <f t="shared" si="7"/>
        <v>29059.11412270238</v>
      </c>
      <c r="K16" s="34">
        <f t="shared" si="7"/>
        <v>29349.705263929402</v>
      </c>
      <c r="L16" s="34">
        <f t="shared" si="7"/>
        <v>29643.202316568691</v>
      </c>
      <c r="M16" s="34">
        <f t="shared" si="7"/>
        <v>29939.634339734381</v>
      </c>
      <c r="N16" s="34">
        <f t="shared" si="7"/>
        <v>30239.030683131725</v>
      </c>
      <c r="O16" s="34">
        <f t="shared" si="7"/>
        <v>30541.42098996304</v>
      </c>
      <c r="P16" s="34">
        <f t="shared" si="7"/>
        <v>30846.835199862675</v>
      </c>
      <c r="Q16" s="34">
        <f t="shared" si="7"/>
        <v>31155.303551861296</v>
      </c>
      <c r="R16" s="34">
        <f t="shared" si="7"/>
        <v>31466.856587379913</v>
      </c>
      <c r="S16" s="34">
        <f t="shared" si="7"/>
        <v>31781.525153253715</v>
      </c>
      <c r="T16" s="34">
        <f t="shared" si="7"/>
        <v>32099.34040478625</v>
      </c>
      <c r="U16" s="34">
        <f t="shared" si="7"/>
        <v>32420.333808834112</v>
      </c>
      <c r="V16" s="34">
        <f t="shared" si="7"/>
        <v>32744.537146922448</v>
      </c>
      <c r="W16" s="34">
        <f t="shared" si="7"/>
        <v>33071.982518391676</v>
      </c>
      <c r="X16" s="34">
        <f t="shared" si="7"/>
        <v>33402.702343575598</v>
      </c>
      <c r="Y16" s="34">
        <f t="shared" si="7"/>
        <v>33736.729367011358</v>
      </c>
      <c r="Z16" s="34">
        <f t="shared" si="7"/>
        <v>34074.096660681469</v>
      </c>
    </row>
    <row r="17" spans="1:26">
      <c r="A17" s="70"/>
      <c r="B17" s="47" t="s">
        <v>148</v>
      </c>
      <c r="D17" s="34">
        <f t="shared" ref="D17:Z17" si="8">D90</f>
        <v>27375</v>
      </c>
      <c r="E17" s="34">
        <f t="shared" si="8"/>
        <v>27648.75</v>
      </c>
      <c r="F17" s="34">
        <f t="shared" si="8"/>
        <v>27925.237499999999</v>
      </c>
      <c r="G17" s="34">
        <f t="shared" si="8"/>
        <v>28204.489875000003</v>
      </c>
      <c r="H17" s="34">
        <f t="shared" si="8"/>
        <v>28486.534773749998</v>
      </c>
      <c r="I17" s="34">
        <f t="shared" si="8"/>
        <v>28771.400121487499</v>
      </c>
      <c r="J17" s="34">
        <f t="shared" si="8"/>
        <v>29059.11412270238</v>
      </c>
      <c r="K17" s="34">
        <f t="shared" si="8"/>
        <v>29349.705263929402</v>
      </c>
      <c r="L17" s="34">
        <f t="shared" si="8"/>
        <v>29643.202316568691</v>
      </c>
      <c r="M17" s="34">
        <f t="shared" si="8"/>
        <v>29939.634339734381</v>
      </c>
      <c r="N17" s="34">
        <f t="shared" si="8"/>
        <v>30239.030683131725</v>
      </c>
      <c r="O17" s="34">
        <f t="shared" si="8"/>
        <v>30541.42098996304</v>
      </c>
      <c r="P17" s="34">
        <f t="shared" si="8"/>
        <v>30846.835199862675</v>
      </c>
      <c r="Q17" s="34">
        <f t="shared" si="8"/>
        <v>31155.303551861296</v>
      </c>
      <c r="R17" s="34">
        <f t="shared" si="8"/>
        <v>31466.856587379913</v>
      </c>
      <c r="S17" s="34">
        <f t="shared" si="8"/>
        <v>31781.525153253715</v>
      </c>
      <c r="T17" s="34">
        <f t="shared" si="8"/>
        <v>32099.34040478625</v>
      </c>
      <c r="U17" s="34">
        <f t="shared" si="8"/>
        <v>32420.333808834112</v>
      </c>
      <c r="V17" s="34">
        <f t="shared" si="8"/>
        <v>32744.537146922448</v>
      </c>
      <c r="W17" s="34">
        <f t="shared" si="8"/>
        <v>33071.982518391676</v>
      </c>
      <c r="X17" s="34">
        <f t="shared" si="8"/>
        <v>33402.702343575598</v>
      </c>
      <c r="Y17" s="34">
        <f t="shared" si="8"/>
        <v>33736.729367011358</v>
      </c>
      <c r="Z17" s="34">
        <f t="shared" si="8"/>
        <v>34074.096660681469</v>
      </c>
    </row>
    <row r="18" spans="1:26">
      <c r="A18" s="70"/>
      <c r="B18" s="78" t="s">
        <v>421</v>
      </c>
      <c r="D18" s="34">
        <f t="shared" ref="D18:Z18" si="9">D91</f>
        <v>18250</v>
      </c>
      <c r="E18" s="34">
        <f t="shared" si="9"/>
        <v>18432.5</v>
      </c>
      <c r="F18" s="34">
        <f t="shared" si="9"/>
        <v>18616.825000000001</v>
      </c>
      <c r="G18" s="34">
        <f t="shared" si="9"/>
        <v>18802.993250000003</v>
      </c>
      <c r="H18" s="34">
        <f t="shared" si="9"/>
        <v>18991.023182500001</v>
      </c>
      <c r="I18" s="34">
        <f t="shared" si="9"/>
        <v>19180.933414324998</v>
      </c>
      <c r="J18" s="34">
        <f t="shared" si="9"/>
        <v>19372.742748468252</v>
      </c>
      <c r="K18" s="34">
        <f t="shared" si="9"/>
        <v>19566.470175952938</v>
      </c>
      <c r="L18" s="34">
        <f t="shared" si="9"/>
        <v>19762.134877712466</v>
      </c>
      <c r="M18" s="34">
        <f t="shared" si="9"/>
        <v>19959.75622648959</v>
      </c>
      <c r="N18" s="34">
        <f t="shared" si="9"/>
        <v>20159.353788754484</v>
      </c>
      <c r="O18" s="34">
        <f t="shared" si="9"/>
        <v>20360.947326642028</v>
      </c>
      <c r="P18" s="34">
        <f t="shared" si="9"/>
        <v>20564.556799908452</v>
      </c>
      <c r="Q18" s="34">
        <f t="shared" si="9"/>
        <v>20770.202367907536</v>
      </c>
      <c r="R18" s="34">
        <f t="shared" si="9"/>
        <v>20977.90439158661</v>
      </c>
      <c r="S18" s="34">
        <f t="shared" si="9"/>
        <v>21187.683435502477</v>
      </c>
      <c r="T18" s="34">
        <f t="shared" si="9"/>
        <v>21399.560269857502</v>
      </c>
      <c r="U18" s="34">
        <f t="shared" si="9"/>
        <v>21613.555872556077</v>
      </c>
      <c r="V18" s="34">
        <f t="shared" si="9"/>
        <v>21829.691431281637</v>
      </c>
      <c r="W18" s="34">
        <f t="shared" si="9"/>
        <v>22047.988345594455</v>
      </c>
      <c r="X18" s="34">
        <f t="shared" si="9"/>
        <v>22268.468229050399</v>
      </c>
      <c r="Y18" s="34">
        <f t="shared" si="9"/>
        <v>22491.152911340905</v>
      </c>
      <c r="Z18" s="34">
        <f t="shared" si="9"/>
        <v>22716.064440454316</v>
      </c>
    </row>
    <row r="19" spans="1:26">
      <c r="A19" s="70"/>
      <c r="B19" s="47" t="s">
        <v>152</v>
      </c>
      <c r="D19" s="34">
        <f t="shared" ref="D19:Z19" si="10">D92</f>
        <v>18250</v>
      </c>
      <c r="E19" s="34">
        <f t="shared" si="10"/>
        <v>18432.5</v>
      </c>
      <c r="F19" s="34">
        <f t="shared" si="10"/>
        <v>18616.825000000001</v>
      </c>
      <c r="G19" s="34">
        <f t="shared" si="10"/>
        <v>18802.993250000003</v>
      </c>
      <c r="H19" s="34">
        <f t="shared" si="10"/>
        <v>18991.023182500001</v>
      </c>
      <c r="I19" s="34">
        <f t="shared" si="10"/>
        <v>19180.933414324998</v>
      </c>
      <c r="J19" s="34">
        <f t="shared" si="10"/>
        <v>19372.742748468252</v>
      </c>
      <c r="K19" s="34">
        <f t="shared" si="10"/>
        <v>19566.470175952938</v>
      </c>
      <c r="L19" s="34">
        <f t="shared" si="10"/>
        <v>19762.134877712466</v>
      </c>
      <c r="M19" s="34">
        <f t="shared" si="10"/>
        <v>19959.75622648959</v>
      </c>
      <c r="N19" s="34">
        <f t="shared" si="10"/>
        <v>20159.353788754484</v>
      </c>
      <c r="O19" s="34">
        <f t="shared" si="10"/>
        <v>20360.947326642028</v>
      </c>
      <c r="P19" s="34">
        <f t="shared" si="10"/>
        <v>20564.556799908452</v>
      </c>
      <c r="Q19" s="34">
        <f t="shared" si="10"/>
        <v>20770.202367907536</v>
      </c>
      <c r="R19" s="34">
        <f t="shared" si="10"/>
        <v>20977.90439158661</v>
      </c>
      <c r="S19" s="34">
        <f t="shared" si="10"/>
        <v>21187.683435502477</v>
      </c>
      <c r="T19" s="34">
        <f t="shared" si="10"/>
        <v>21399.560269857502</v>
      </c>
      <c r="U19" s="34">
        <f t="shared" si="10"/>
        <v>21613.555872556077</v>
      </c>
      <c r="V19" s="34">
        <f t="shared" si="10"/>
        <v>21829.691431281637</v>
      </c>
      <c r="W19" s="34">
        <f t="shared" si="10"/>
        <v>22047.988345594455</v>
      </c>
      <c r="X19" s="34">
        <f t="shared" si="10"/>
        <v>22268.468229050399</v>
      </c>
      <c r="Y19" s="34">
        <f t="shared" si="10"/>
        <v>22491.152911340905</v>
      </c>
      <c r="Z19" s="34">
        <f t="shared" si="10"/>
        <v>22716.064440454316</v>
      </c>
    </row>
    <row r="20" spans="1:26">
      <c r="A20" s="70"/>
      <c r="B20" s="78" t="s">
        <v>426</v>
      </c>
      <c r="D20" s="34">
        <f t="shared" ref="D20:Z20" si="11">D93</f>
        <v>36500</v>
      </c>
      <c r="E20" s="34">
        <f t="shared" si="11"/>
        <v>36865</v>
      </c>
      <c r="F20" s="34">
        <f t="shared" si="11"/>
        <v>37233.65</v>
      </c>
      <c r="G20" s="34">
        <f t="shared" si="11"/>
        <v>37605.986500000006</v>
      </c>
      <c r="H20" s="34">
        <f t="shared" si="11"/>
        <v>37982.046365000002</v>
      </c>
      <c r="I20" s="34">
        <f t="shared" si="11"/>
        <v>38361.866828649996</v>
      </c>
      <c r="J20" s="34">
        <f t="shared" si="11"/>
        <v>38745.485496936504</v>
      </c>
      <c r="K20" s="34">
        <f t="shared" si="11"/>
        <v>39132.940351905876</v>
      </c>
      <c r="L20" s="34">
        <f t="shared" si="11"/>
        <v>39524.269755424932</v>
      </c>
      <c r="M20" s="34">
        <f t="shared" si="11"/>
        <v>39919.512452979179</v>
      </c>
      <c r="N20" s="34">
        <f t="shared" si="11"/>
        <v>40318.707577508969</v>
      </c>
      <c r="O20" s="34">
        <f t="shared" si="11"/>
        <v>40721.894653284056</v>
      </c>
      <c r="P20" s="34">
        <f t="shared" si="11"/>
        <v>41129.113599816905</v>
      </c>
      <c r="Q20" s="34">
        <f t="shared" si="11"/>
        <v>41540.404735815071</v>
      </c>
      <c r="R20" s="34">
        <f t="shared" si="11"/>
        <v>41955.808783173219</v>
      </c>
      <c r="S20" s="34">
        <f t="shared" si="11"/>
        <v>42375.366871004953</v>
      </c>
      <c r="T20" s="34">
        <f t="shared" si="11"/>
        <v>42799.120539715004</v>
      </c>
      <c r="U20" s="34">
        <f t="shared" si="11"/>
        <v>43227.111745112154</v>
      </c>
      <c r="V20" s="34">
        <f t="shared" si="11"/>
        <v>43659.382862563274</v>
      </c>
      <c r="W20" s="34">
        <f t="shared" si="11"/>
        <v>44095.976691188909</v>
      </c>
      <c r="X20" s="34">
        <f t="shared" si="11"/>
        <v>44536.936458100798</v>
      </c>
      <c r="Y20" s="34">
        <f t="shared" si="11"/>
        <v>44982.30582268181</v>
      </c>
      <c r="Z20" s="34">
        <f t="shared" si="11"/>
        <v>45432.128880908633</v>
      </c>
    </row>
    <row r="21" spans="1:26">
      <c r="A21" s="70"/>
      <c r="B21" s="78" t="s">
        <v>457</v>
      </c>
      <c r="D21" s="34">
        <f t="shared" ref="D21:Z21" si="12">D94</f>
        <v>36500</v>
      </c>
      <c r="E21" s="34">
        <f t="shared" si="12"/>
        <v>36865</v>
      </c>
      <c r="F21" s="34">
        <f t="shared" si="12"/>
        <v>37233.65</v>
      </c>
      <c r="G21" s="34">
        <f t="shared" si="12"/>
        <v>37605.986500000006</v>
      </c>
      <c r="H21" s="34">
        <f t="shared" si="12"/>
        <v>37982.046365000002</v>
      </c>
      <c r="I21" s="34">
        <f t="shared" si="12"/>
        <v>38361.866828649996</v>
      </c>
      <c r="J21" s="34">
        <f t="shared" si="12"/>
        <v>38745.485496936504</v>
      </c>
      <c r="K21" s="34">
        <f t="shared" si="12"/>
        <v>39132.940351905876</v>
      </c>
      <c r="L21" s="34">
        <f t="shared" si="12"/>
        <v>39524.269755424932</v>
      </c>
      <c r="M21" s="34">
        <f t="shared" si="12"/>
        <v>39919.512452979179</v>
      </c>
      <c r="N21" s="34">
        <f t="shared" si="12"/>
        <v>40318.707577508969</v>
      </c>
      <c r="O21" s="34">
        <f t="shared" si="12"/>
        <v>40721.894653284056</v>
      </c>
      <c r="P21" s="34">
        <f t="shared" si="12"/>
        <v>41129.113599816905</v>
      </c>
      <c r="Q21" s="34">
        <f t="shared" si="12"/>
        <v>41540.404735815071</v>
      </c>
      <c r="R21" s="34">
        <f t="shared" si="12"/>
        <v>41955.808783173219</v>
      </c>
      <c r="S21" s="34">
        <f t="shared" si="12"/>
        <v>42375.366871004953</v>
      </c>
      <c r="T21" s="34">
        <f t="shared" si="12"/>
        <v>42799.120539715004</v>
      </c>
      <c r="U21" s="34">
        <f t="shared" si="12"/>
        <v>43227.111745112154</v>
      </c>
      <c r="V21" s="34">
        <f t="shared" si="12"/>
        <v>43659.382862563274</v>
      </c>
      <c r="W21" s="34">
        <f t="shared" si="12"/>
        <v>44095.976691188909</v>
      </c>
      <c r="X21" s="34">
        <f t="shared" si="12"/>
        <v>44536.936458100798</v>
      </c>
      <c r="Y21" s="34">
        <f t="shared" si="12"/>
        <v>44982.30582268181</v>
      </c>
      <c r="Z21" s="34">
        <f t="shared" si="12"/>
        <v>45432.128880908633</v>
      </c>
    </row>
    <row r="22" spans="1:26">
      <c r="A22" s="70"/>
      <c r="B22" s="53"/>
      <c r="G22"/>
      <c r="I22" s="34"/>
    </row>
    <row r="23" spans="1:26">
      <c r="A23" s="5" t="s">
        <v>353</v>
      </c>
      <c r="B23" s="53"/>
      <c r="G23"/>
      <c r="I23"/>
    </row>
    <row r="24" spans="1:26">
      <c r="A24" s="5"/>
      <c r="B24" s="225" t="s">
        <v>555</v>
      </c>
      <c r="C24" s="189">
        <f t="shared" ref="C24:T24" si="13">(($D$125*(1+($H$124*(C2-2011))))+($D$127*(1+($H$126*(C2-2011)))))/2</f>
        <v>27165.862192000001</v>
      </c>
      <c r="D24" s="189">
        <f t="shared" si="13"/>
        <v>27246.043288000001</v>
      </c>
      <c r="E24" s="189">
        <f t="shared" si="13"/>
        <v>27326.224384000001</v>
      </c>
      <c r="F24" s="189">
        <f t="shared" si="13"/>
        <v>27406.405479999998</v>
      </c>
      <c r="G24" s="189">
        <f t="shared" si="13"/>
        <v>27486.586576000002</v>
      </c>
      <c r="H24" s="189">
        <f t="shared" si="13"/>
        <v>27566.767672000002</v>
      </c>
      <c r="I24" s="189">
        <f t="shared" si="13"/>
        <v>27646.948767999998</v>
      </c>
      <c r="J24" s="189">
        <f t="shared" si="13"/>
        <v>27727.129864000002</v>
      </c>
      <c r="K24" s="189">
        <f t="shared" si="13"/>
        <v>27807.310959999999</v>
      </c>
      <c r="L24" s="189">
        <f t="shared" si="13"/>
        <v>27887.492055999999</v>
      </c>
      <c r="M24" s="189">
        <f t="shared" si="13"/>
        <v>27967.673151999996</v>
      </c>
      <c r="N24" s="189">
        <f t="shared" si="13"/>
        <v>28047.854248000003</v>
      </c>
      <c r="O24" s="189">
        <f t="shared" si="13"/>
        <v>28128.035344000004</v>
      </c>
      <c r="P24" s="189">
        <f t="shared" si="13"/>
        <v>28208.216439999997</v>
      </c>
      <c r="Q24" s="189">
        <f t="shared" si="13"/>
        <v>28288.397536</v>
      </c>
      <c r="R24" s="189">
        <f t="shared" si="13"/>
        <v>28368.578632000001</v>
      </c>
      <c r="S24" s="189">
        <f t="shared" si="13"/>
        <v>28448.759727999997</v>
      </c>
      <c r="T24" s="189">
        <f t="shared" si="13"/>
        <v>28528.940824000001</v>
      </c>
      <c r="U24" s="189">
        <f t="shared" ref="U24:Z24" si="14">(($E$125*(1+($J$124*(U2-2030))))+($E$127*(1+($J$126*(U2-2030)))))/2</f>
        <v>27420.194300000003</v>
      </c>
      <c r="V24" s="189">
        <f t="shared" si="14"/>
        <v>26247.388599999998</v>
      </c>
      <c r="W24" s="189">
        <f t="shared" si="14"/>
        <v>25074.582900000001</v>
      </c>
      <c r="X24" s="189">
        <f t="shared" si="14"/>
        <v>23901.777199999997</v>
      </c>
      <c r="Y24" s="189">
        <f t="shared" si="14"/>
        <v>22728.9715</v>
      </c>
      <c r="Z24" s="189">
        <f t="shared" si="14"/>
        <v>21556.165800000002</v>
      </c>
    </row>
    <row r="25" spans="1:26">
      <c r="A25" s="70" t="s">
        <v>354</v>
      </c>
      <c r="B25" s="70" t="s">
        <v>350</v>
      </c>
      <c r="C25" s="278">
        <f>C24*365</f>
        <v>9915539.7000799999</v>
      </c>
      <c r="D25" s="278">
        <f>C24*365</f>
        <v>9915539.7000799999</v>
      </c>
      <c r="E25" s="278">
        <v>0</v>
      </c>
      <c r="F25" s="278"/>
      <c r="G25" s="278"/>
      <c r="H25" s="278"/>
      <c r="I25" s="278"/>
      <c r="J25" s="278"/>
      <c r="K25" s="278"/>
      <c r="L25" s="278"/>
      <c r="M25" s="278"/>
      <c r="N25" s="278"/>
      <c r="O25" s="278"/>
      <c r="P25" s="278"/>
      <c r="Q25" s="278"/>
      <c r="R25" s="278"/>
      <c r="S25" s="278"/>
      <c r="T25" s="278"/>
      <c r="U25" s="278"/>
      <c r="V25" s="278"/>
      <c r="W25" s="278"/>
      <c r="X25" s="278"/>
      <c r="Y25" s="278"/>
      <c r="Z25" s="278"/>
    </row>
    <row r="26" spans="1:26">
      <c r="A26" s="70"/>
      <c r="B26" s="70" t="s">
        <v>512</v>
      </c>
      <c r="C26" s="278">
        <f t="shared" ref="C26:H26" si="15">0.5*C33</f>
        <v>0</v>
      </c>
      <c r="D26" s="278">
        <f t="shared" si="15"/>
        <v>-27375</v>
      </c>
      <c r="E26" s="278">
        <f t="shared" si="15"/>
        <v>-46791.228089535478</v>
      </c>
      <c r="F26" s="278">
        <f t="shared" si="15"/>
        <v>-46933.550165601599</v>
      </c>
      <c r="G26" s="278">
        <f t="shared" si="15"/>
        <v>-47078.637116667727</v>
      </c>
      <c r="H26" s="278">
        <f t="shared" si="15"/>
        <v>-47226.516591483844</v>
      </c>
      <c r="I26" s="278">
        <f t="shared" ref="I26:Z26" si="16">0.5*I33</f>
        <v>-47377.216515287451</v>
      </c>
      <c r="J26" s="278">
        <f t="shared" si="16"/>
        <v>-47530.765092568457</v>
      </c>
      <c r="K26" s="278">
        <f t="shared" si="16"/>
        <v>-48093.783680314766</v>
      </c>
      <c r="L26" s="278">
        <f t="shared" si="16"/>
        <v>-48659.708179473339</v>
      </c>
      <c r="M26" s="278">
        <f t="shared" si="16"/>
        <v>-49228.5676491583</v>
      </c>
      <c r="N26" s="278">
        <f t="shared" si="16"/>
        <v>-49800.391439074912</v>
      </c>
      <c r="O26" s="278">
        <f t="shared" si="16"/>
        <v>-50375.209192425507</v>
      </c>
      <c r="P26" s="278">
        <f t="shared" si="16"/>
        <v>-50953.050848844417</v>
      </c>
      <c r="Q26" s="278">
        <f t="shared" si="16"/>
        <v>-51533.946647362318</v>
      </c>
      <c r="R26" s="278">
        <f t="shared" si="16"/>
        <v>-52117.927129400196</v>
      </c>
      <c r="S26" s="278">
        <f t="shared" si="16"/>
        <v>-52705.023141793281</v>
      </c>
      <c r="T26" s="278">
        <f t="shared" si="16"/>
        <v>-53295.265839845095</v>
      </c>
      <c r="U26" s="278">
        <f t="shared" si="16"/>
        <v>-53928.926105589089</v>
      </c>
      <c r="V26" s="278">
        <f t="shared" si="16"/>
        <v>-54565.796305373558</v>
      </c>
      <c r="W26" s="278">
        <f t="shared" si="16"/>
        <v>-55205.908538538919</v>
      </c>
      <c r="X26" s="278">
        <f t="shared" si="16"/>
        <v>-55849.295225418966</v>
      </c>
      <c r="Y26" s="278">
        <f t="shared" si="16"/>
        <v>-56495.989110550858</v>
      </c>
      <c r="Z26" s="278">
        <f t="shared" si="16"/>
        <v>-57146.023265917102</v>
      </c>
    </row>
    <row r="27" spans="1:26">
      <c r="A27" s="70" t="s">
        <v>355</v>
      </c>
      <c r="B27" s="70" t="s">
        <v>350</v>
      </c>
      <c r="C27" s="278"/>
      <c r="D27" s="278"/>
      <c r="E27" s="278">
        <f t="shared" ref="E27:Z27" si="17">(D24*365)+E26</f>
        <v>9898014.5720304642</v>
      </c>
      <c r="F27" s="278">
        <f t="shared" si="17"/>
        <v>9927138.3499943987</v>
      </c>
      <c r="G27" s="278">
        <f t="shared" si="17"/>
        <v>9956259.3630833328</v>
      </c>
      <c r="H27" s="278">
        <f t="shared" si="17"/>
        <v>9985377.5836485177</v>
      </c>
      <c r="I27" s="278">
        <f t="shared" si="17"/>
        <v>10014492.983764714</v>
      </c>
      <c r="J27" s="278">
        <f t="shared" si="17"/>
        <v>10043605.535227431</v>
      </c>
      <c r="K27" s="278">
        <f t="shared" si="17"/>
        <v>10072308.616679687</v>
      </c>
      <c r="L27" s="278">
        <f t="shared" si="17"/>
        <v>10101008.792220525</v>
      </c>
      <c r="M27" s="278">
        <f t="shared" si="17"/>
        <v>10129706.032790842</v>
      </c>
      <c r="N27" s="278">
        <f t="shared" si="17"/>
        <v>10158400.309040925</v>
      </c>
      <c r="O27" s="278">
        <f t="shared" si="17"/>
        <v>10187091.591327576</v>
      </c>
      <c r="P27" s="278">
        <f t="shared" si="17"/>
        <v>10215779.849711157</v>
      </c>
      <c r="Q27" s="278">
        <f t="shared" si="17"/>
        <v>10244465.053952636</v>
      </c>
      <c r="R27" s="278">
        <f t="shared" si="17"/>
        <v>10273147.1735106</v>
      </c>
      <c r="S27" s="278">
        <f t="shared" si="17"/>
        <v>10301826.177538207</v>
      </c>
      <c r="T27" s="278">
        <f t="shared" si="17"/>
        <v>10330502.034880154</v>
      </c>
      <c r="U27" s="278">
        <f t="shared" si="17"/>
        <v>10359134.474654412</v>
      </c>
      <c r="V27" s="278">
        <f t="shared" si="17"/>
        <v>9953805.1231946275</v>
      </c>
      <c r="W27" s="278">
        <f t="shared" si="17"/>
        <v>9525090.9304614607</v>
      </c>
      <c r="X27" s="278">
        <f t="shared" si="17"/>
        <v>9096373.4632745814</v>
      </c>
      <c r="Y27" s="278">
        <f t="shared" si="17"/>
        <v>8667652.6888894476</v>
      </c>
      <c r="Z27" s="278">
        <f t="shared" si="17"/>
        <v>8238928.5742340833</v>
      </c>
    </row>
    <row r="28" spans="1:26">
      <c r="G28"/>
      <c r="I28"/>
    </row>
    <row r="29" spans="1:26">
      <c r="A29" s="70"/>
      <c r="G29"/>
      <c r="I29"/>
    </row>
    <row r="30" spans="1:26">
      <c r="A30" s="70"/>
      <c r="B30" s="58" t="s">
        <v>420</v>
      </c>
      <c r="G30"/>
      <c r="I30"/>
    </row>
    <row r="31" spans="1:26">
      <c r="B31" s="78" t="s">
        <v>488</v>
      </c>
      <c r="C31" s="278">
        <f>C6+C7+C11+C12+C20+C21</f>
        <v>0</v>
      </c>
      <c r="D31" s="278">
        <f t="shared" ref="D31:Z31" si="18">D6+D7+D11+D12+D20+D21</f>
        <v>73000</v>
      </c>
      <c r="E31" s="278">
        <f t="shared" si="18"/>
        <v>150299.91235814191</v>
      </c>
      <c r="F31" s="278">
        <f t="shared" si="18"/>
        <v>150500.5506624064</v>
      </c>
      <c r="G31" s="278">
        <f t="shared" si="18"/>
        <v>150708.56196667088</v>
      </c>
      <c r="H31" s="278">
        <f t="shared" si="18"/>
        <v>150924.02000093539</v>
      </c>
      <c r="I31" s="278">
        <f t="shared" si="18"/>
        <v>151146.99923249983</v>
      </c>
      <c r="J31" s="278">
        <f t="shared" si="18"/>
        <v>151377.57487333735</v>
      </c>
      <c r="K31" s="278">
        <f t="shared" si="18"/>
        <v>153242.19436935321</v>
      </c>
      <c r="L31" s="278">
        <f t="shared" si="18"/>
        <v>155114.56296246839</v>
      </c>
      <c r="M31" s="278">
        <f t="shared" si="18"/>
        <v>156994.75814365401</v>
      </c>
      <c r="N31" s="278">
        <f t="shared" si="18"/>
        <v>158882.85817879069</v>
      </c>
      <c r="O31" s="278">
        <f t="shared" si="18"/>
        <v>160778.94211641795</v>
      </c>
      <c r="P31" s="278">
        <f t="shared" si="18"/>
        <v>162683.08979556075</v>
      </c>
      <c r="Q31" s="278">
        <f t="shared" si="18"/>
        <v>164595.3818536342</v>
      </c>
      <c r="R31" s="278">
        <f t="shared" si="18"/>
        <v>166515.8997344276</v>
      </c>
      <c r="S31" s="278">
        <f t="shared" si="18"/>
        <v>168444.7256961682</v>
      </c>
      <c r="T31" s="278">
        <f t="shared" si="18"/>
        <v>170381.94281966539</v>
      </c>
      <c r="U31" s="278">
        <f t="shared" si="18"/>
        <v>172488.59267724419</v>
      </c>
      <c r="V31" s="278">
        <f t="shared" si="18"/>
        <v>174603.80235893096</v>
      </c>
      <c r="W31" s="278">
        <f t="shared" si="18"/>
        <v>176727.65746296674</v>
      </c>
      <c r="X31" s="278">
        <f t="shared" si="18"/>
        <v>178860.24444357509</v>
      </c>
      <c r="Y31" s="278">
        <f t="shared" si="18"/>
        <v>181001.65061952162</v>
      </c>
      <c r="Z31" s="278">
        <f t="shared" si="18"/>
        <v>183151.96418275978</v>
      </c>
    </row>
    <row r="32" spans="1:26">
      <c r="B32" s="78" t="s">
        <v>489</v>
      </c>
      <c r="C32" s="278">
        <f>-C16</f>
        <v>0</v>
      </c>
      <c r="D32" s="278">
        <f t="shared" ref="D32:Z32" si="19">-D16</f>
        <v>-27375</v>
      </c>
      <c r="E32" s="278">
        <f t="shared" si="19"/>
        <v>-27648.75</v>
      </c>
      <c r="F32" s="278">
        <f t="shared" si="19"/>
        <v>-27925.237499999999</v>
      </c>
      <c r="G32" s="278">
        <f t="shared" si="19"/>
        <v>-28204.489875000003</v>
      </c>
      <c r="H32" s="278">
        <f t="shared" si="19"/>
        <v>-28486.534773749998</v>
      </c>
      <c r="I32" s="278">
        <f t="shared" si="19"/>
        <v>-28771.400121487499</v>
      </c>
      <c r="J32" s="278">
        <f t="shared" si="19"/>
        <v>-29059.11412270238</v>
      </c>
      <c r="K32" s="278">
        <f t="shared" si="19"/>
        <v>-29349.705263929402</v>
      </c>
      <c r="L32" s="278">
        <f t="shared" si="19"/>
        <v>-29643.202316568691</v>
      </c>
      <c r="M32" s="278">
        <f t="shared" si="19"/>
        <v>-29939.634339734381</v>
      </c>
      <c r="N32" s="278">
        <f t="shared" si="19"/>
        <v>-30239.030683131725</v>
      </c>
      <c r="O32" s="278">
        <f t="shared" si="19"/>
        <v>-30541.42098996304</v>
      </c>
      <c r="P32" s="278">
        <f t="shared" si="19"/>
        <v>-30846.835199862675</v>
      </c>
      <c r="Q32" s="278">
        <f t="shared" si="19"/>
        <v>-31155.303551861296</v>
      </c>
      <c r="R32" s="278">
        <f t="shared" si="19"/>
        <v>-31466.856587379913</v>
      </c>
      <c r="S32" s="278">
        <f t="shared" si="19"/>
        <v>-31781.525153253715</v>
      </c>
      <c r="T32" s="278">
        <f t="shared" si="19"/>
        <v>-32099.34040478625</v>
      </c>
      <c r="U32" s="278">
        <f t="shared" si="19"/>
        <v>-32420.333808834112</v>
      </c>
      <c r="V32" s="278">
        <f t="shared" si="19"/>
        <v>-32744.537146922448</v>
      </c>
      <c r="W32" s="278">
        <f t="shared" si="19"/>
        <v>-33071.982518391676</v>
      </c>
      <c r="X32" s="278">
        <f t="shared" si="19"/>
        <v>-33402.702343575598</v>
      </c>
      <c r="Y32" s="278">
        <f t="shared" si="19"/>
        <v>-33736.729367011358</v>
      </c>
      <c r="Z32" s="278">
        <f t="shared" si="19"/>
        <v>-34074.096660681469</v>
      </c>
    </row>
    <row r="33" spans="1:26">
      <c r="B33" s="78" t="s">
        <v>490</v>
      </c>
      <c r="C33" s="278"/>
      <c r="D33" s="278">
        <f>-(('A-N Users'!D6+'A-N Users'!D11+'A-N Users'!D15+'A-N Users'!D20))</f>
        <v>-54750</v>
      </c>
      <c r="E33" s="278">
        <f>-(('A-N Users'!E6+'A-N Users'!E11+'A-N Users'!E15)+('A-N Users'!E20))</f>
        <v>-93582.456179070956</v>
      </c>
      <c r="F33" s="278">
        <f>-(('A-N Users'!F6+'A-N Users'!F11+'A-N Users'!F15)+('A-N Users'!F20))</f>
        <v>-93867.100331203197</v>
      </c>
      <c r="G33" s="278">
        <f>-(('A-N Users'!G6+'A-N Users'!G11+'A-N Users'!G15)+('A-N Users'!G20))</f>
        <v>-94157.274233335454</v>
      </c>
      <c r="H33" s="278">
        <f>-(('A-N Users'!H6+'A-N Users'!H11+'A-N Users'!H15)+('A-N Users'!H20))</f>
        <v>-94453.033182967687</v>
      </c>
      <c r="I33" s="278">
        <f>-(('A-N Users'!I6+'A-N Users'!I11+'A-N Users'!I15)+('A-N Users'!I20))</f>
        <v>-94754.433030574903</v>
      </c>
      <c r="J33" s="278">
        <f>-(('A-N Users'!J6+'A-N Users'!J11+'A-N Users'!J15)+('A-N Users'!J20))</f>
        <v>-95061.530185136915</v>
      </c>
      <c r="K33" s="278">
        <f>-(('A-N Users'!K6+'A-N Users'!K11+'A-N Users'!K15)+('A-N Users'!K20))</f>
        <v>-96187.567360629531</v>
      </c>
      <c r="L33" s="278">
        <f>-(('A-N Users'!L6+'A-N Users'!L11+'A-N Users'!L15)+('A-N Users'!L20))</f>
        <v>-97319.416358946677</v>
      </c>
      <c r="M33" s="278">
        <f>-(('A-N Users'!M6+'A-N Users'!M11+'A-N Users'!M15)+('A-N Users'!M20))</f>
        <v>-98457.1352983166</v>
      </c>
      <c r="N33" s="278">
        <f>-(('A-N Users'!N6+'A-N Users'!N11+'A-N Users'!N15)+('A-N Users'!N20))</f>
        <v>-99600.782878149825</v>
      </c>
      <c r="O33" s="278">
        <f>-(('A-N Users'!O6+'A-N Users'!O11+'A-N Users'!O15)+('A-N Users'!O20))</f>
        <v>-100750.41838485101</v>
      </c>
      <c r="P33" s="278">
        <f>-(('A-N Users'!P6+'A-N Users'!P11+'A-N Users'!P15)+('A-N Users'!P20))</f>
        <v>-101906.10169768883</v>
      </c>
      <c r="Q33" s="278">
        <f>-(('A-N Users'!Q6+'A-N Users'!Q11+'A-N Users'!Q15)+('A-N Users'!Q20))</f>
        <v>-103067.89329472464</v>
      </c>
      <c r="R33" s="278">
        <f>-(('A-N Users'!R6+'A-N Users'!R11+'A-N Users'!R15)+('A-N Users'!R20))</f>
        <v>-104235.85425880039</v>
      </c>
      <c r="S33" s="278">
        <f>-(('A-N Users'!S6+'A-N Users'!S11+'A-N Users'!S15)+('A-N Users'!S20))</f>
        <v>-105410.04628358656</v>
      </c>
      <c r="T33" s="278">
        <f>-(('A-N Users'!T6+'A-N Users'!T11+'A-N Users'!T15)+('A-N Users'!T20))</f>
        <v>-106590.53167969019</v>
      </c>
      <c r="U33" s="278">
        <f>-(('A-N Users'!U6+'A-N Users'!U11+'A-N Users'!U15)+('A-N Users'!U20))</f>
        <v>-107857.85221117818</v>
      </c>
      <c r="V33" s="278">
        <f>-(('A-N Users'!V6+'A-N Users'!V11+'A-N Users'!V15)+('A-N Users'!V20))</f>
        <v>-109131.59261074712</v>
      </c>
      <c r="W33" s="278">
        <f>-(('A-N Users'!W6+'A-N Users'!W11+'A-N Users'!W15)+('A-N Users'!W20))</f>
        <v>-110411.81707707784</v>
      </c>
      <c r="X33" s="278">
        <f>-(('A-N Users'!X6+'A-N Users'!X11+'A-N Users'!X15)+('A-N Users'!X20))</f>
        <v>-111698.59045083793</v>
      </c>
      <c r="Y33" s="278">
        <f>-(('A-N Users'!Y6+'A-N Users'!Y11+'A-N Users'!Y15)+('A-N Users'!Y20))</f>
        <v>-112991.97822110172</v>
      </c>
      <c r="Z33" s="278">
        <f>-(('A-N Users'!Z6+'A-N Users'!Z11+'A-N Users'!Z15)+('A-N Users'!Z20))</f>
        <v>-114292.0465318342</v>
      </c>
    </row>
    <row r="34" spans="1:26">
      <c r="B34" s="78" t="s">
        <v>491</v>
      </c>
      <c r="C34" s="278"/>
      <c r="D34" s="278">
        <f>-('Mode Operating Assumptions'!$C$27*('A-N Users'!D6+'A-N Users'!D11+'A-N Users'!D20)+'Mode Operating Assumptions'!$C$18*('A-N Users'!D15))</f>
        <v>-269917.5</v>
      </c>
      <c r="E34" s="278">
        <f>-('Mode Operating Assumptions'!$C$27*('A-N Users'!E6+'A-N Users'!E11+'A-N Users'!E20)+'Mode Operating Assumptions'!$C$18*('A-N Users'!E15))</f>
        <v>-521468.89016396122</v>
      </c>
      <c r="F34" s="278">
        <f>-('Mode Operating Assumptions'!$C$27*('A-N Users'!F6+'A-N Users'!F11+'A-N Users'!F20)+'Mode Operating Assumptions'!$C$18*('A-N Users'!F15))</f>
        <v>-522450.9064028209</v>
      </c>
      <c r="G34" s="278">
        <f>-('Mode Operating Assumptions'!$C$27*('A-N Users'!G6+'A-N Users'!G11+'A-N Users'!G20)+'Mode Operating Assumptions'!$C$18*('A-N Users'!G15))</f>
        <v>-523460.18430918048</v>
      </c>
      <c r="H34" s="278">
        <f>-('Mode Operating Assumptions'!$C$27*('A-N Users'!H6+'A-N Users'!H11+'A-N Users'!H20)+'Mode Operating Assumptions'!$C$18*('A-N Users'!H15))</f>
        <v>-524496.99649971502</v>
      </c>
      <c r="I34" s="278">
        <f>-('Mode Operating Assumptions'!$C$27*('A-N Users'!I6+'A-N Users'!I11+'A-N Users'!I20)+'Mode Operating Assumptions'!$C$18*('A-N Users'!I15))</f>
        <v>-525561.61831726623</v>
      </c>
      <c r="J34" s="278">
        <f>-('Mode Operating Assumptions'!$C$27*('A-N Users'!J6+'A-N Users'!J11+'A-N Users'!J20)+'Mode Operating Assumptions'!$C$18*('A-N Users'!J15))</f>
        <v>-526654.32785810449</v>
      </c>
      <c r="K34" s="278">
        <f>-('Mode Operating Assumptions'!$C$27*('A-N Users'!K6+'A-N Users'!K11+'A-N Users'!K20)+'Mode Operating Assumptions'!$C$18*('A-N Users'!K15))</f>
        <v>-533061.11331535364</v>
      </c>
      <c r="L34" s="278">
        <f>-('Mode Operating Assumptions'!$C$27*('A-N Users'!L6+'A-N Users'!L11+'A-N Users'!L20)+'Mode Operating Assumptions'!$C$18*('A-N Users'!L15))</f>
        <v>-539496.55105912767</v>
      </c>
      <c r="M34" s="278">
        <f>-('Mode Operating Assumptions'!$C$27*('A-N Users'!M6+'A-N Users'!M11+'A-N Users'!M20)+'Mode Operating Assumptions'!$C$18*('A-N Users'!M15))</f>
        <v>-545960.92761229188</v>
      </c>
      <c r="N34" s="278">
        <f>-('Mode Operating Assumptions'!$C$27*('A-N Users'!N6+'A-N Users'!N11+'A-N Users'!N20)+'Mode Operating Assumptions'!$C$18*('A-N Users'!N15))</f>
        <v>-552454.53236294026</v>
      </c>
      <c r="O34" s="278">
        <f>-('Mode Operating Assumptions'!$C$27*('A-N Users'!O6+'A-N Users'!O11+'A-N Users'!O20)+'Mode Operating Assumptions'!$C$18*('A-N Users'!O15))</f>
        <v>-558977.6575930476</v>
      </c>
      <c r="P34" s="278">
        <f>-('Mode Operating Assumptions'!$C$27*('A-N Users'!P6+'A-N Users'!P11+'A-N Users'!P20)+'Mode Operating Assumptions'!$C$18*('A-N Users'!P15))</f>
        <v>-565530.59850740863</v>
      </c>
      <c r="Q34" s="278">
        <f>-('Mode Operating Assumptions'!$C$27*('A-N Users'!Q6+'A-N Users'!Q11+'A-N Users'!Q20)+'Mode Operating Assumptions'!$C$18*('A-N Users'!Q15))</f>
        <v>-572113.65326286561</v>
      </c>
      <c r="R34" s="278">
        <f>-('Mode Operating Assumptions'!$C$27*('A-N Users'!R6+'A-N Users'!R11+'A-N Users'!R20)+'Mode Operating Assumptions'!$C$18*('A-N Users'!R15))</f>
        <v>-578727.12299782969</v>
      </c>
      <c r="S34" s="278">
        <f>-('Mode Operating Assumptions'!$C$27*('A-N Users'!S6+'A-N Users'!S11+'A-N Users'!S20)+'Mode Operating Assumptions'!$C$18*('A-N Users'!S15))</f>
        <v>-585371.31186209607</v>
      </c>
      <c r="T34" s="278">
        <f>-('Mode Operating Assumptions'!$C$27*('A-N Users'!T6+'A-N Users'!T11+'A-N Users'!T20)+'Mode Operating Assumptions'!$C$18*('A-N Users'!T15))</f>
        <v>-592046.5270469574</v>
      </c>
      <c r="U34" s="278">
        <f>-('Mode Operating Assumptions'!$C$27*('A-N Users'!U6+'A-N Users'!U11+'A-N Users'!U20)+'Mode Operating Assumptions'!$C$18*('A-N Users'!U15))</f>
        <v>-599276.19121291908</v>
      </c>
      <c r="V34" s="278">
        <f>-('Mode Operating Assumptions'!$C$27*('A-N Users'!V6+'A-N Users'!V11+'A-N Users'!V20)+'Mode Operating Assumptions'!$C$18*('A-N Users'!V15))</f>
        <v>-606537.50532851974</v>
      </c>
      <c r="W34" s="278">
        <f>-('Mode Operating Assumptions'!$C$27*('A-N Users'!W6+'A-N Users'!W11+'A-N Users'!W20)+'Mode Operating Assumptions'!$C$18*('A-N Users'!W15))</f>
        <v>-613830.78589325596</v>
      </c>
      <c r="X34" s="278">
        <f>-('Mode Operating Assumptions'!$C$27*('A-N Users'!X6+'A-N Users'!X11+'A-N Users'!X20)+'Mode Operating Assumptions'!$C$18*('A-N Users'!X15))</f>
        <v>-621156.35257161921</v>
      </c>
      <c r="Y34" s="278">
        <f>-('Mode Operating Assumptions'!$C$27*('A-N Users'!Y6+'A-N Users'!Y11+'A-N Users'!Y20)+'Mode Operating Assumptions'!$C$18*('A-N Users'!Y15))</f>
        <v>-628514.52822474553</v>
      </c>
      <c r="Z34" s="278">
        <f>-('Mode Operating Assumptions'!$C$27*('A-N Users'!Z6+'A-N Users'!Z11+'A-N Users'!Z20)+'Mode Operating Assumptions'!$C$18*('A-N Users'!Z15))</f>
        <v>-635905.63894238265</v>
      </c>
    </row>
    <row r="35" spans="1:26">
      <c r="A35" s="70"/>
      <c r="B35" s="54" t="s">
        <v>492</v>
      </c>
      <c r="C35" s="227">
        <f>-(C34*'Mode Operating Assumptions'!$C$8/'Mode Operating Assumptions'!C11)</f>
        <v>0</v>
      </c>
      <c r="D35" s="227">
        <f>-(D34*'Mode Operating Assumptions'!$C$8/'Mode Operating Assumptions'!D11)</f>
        <v>47565.643456646481</v>
      </c>
      <c r="E35" s="227">
        <f>-(E34*'Mode Operating Assumptions'!$C$8/'Mode Operating Assumptions'!E11)</f>
        <v>89823.723757720087</v>
      </c>
      <c r="F35" s="227">
        <f>-(F34*'Mode Operating Assumptions'!$C$8/'Mode Operating Assumptions'!F11)</f>
        <v>88009.407512649967</v>
      </c>
      <c r="G35" s="227">
        <f>-(G34*'Mode Operating Assumptions'!$C$8/'Mode Operating Assumptions'!G11)</f>
        <v>86277.836051896535</v>
      </c>
      <c r="H35" s="227">
        <f>-(H34*'Mode Operating Assumptions'!$C$8/'Mode Operating Assumptions'!H11)</f>
        <v>84623.813190772678</v>
      </c>
      <c r="I35" s="227">
        <f>-(I34*'Mode Operating Assumptions'!$C$8/'Mode Operating Assumptions'!I11)</f>
        <v>83042.572865680748</v>
      </c>
      <c r="J35" s="227">
        <f>-(J34*'Mode Operating Assumptions'!$C$8/'Mode Operating Assumptions'!J11)</f>
        <v>81529.735578623018</v>
      </c>
      <c r="K35" s="227">
        <f>-(K34*'Mode Operating Assumptions'!$C$8/'Mode Operating Assumptions'!K11)</f>
        <v>80883.289506434434</v>
      </c>
      <c r="L35" s="227">
        <f>-(L34*'Mode Operating Assumptions'!$C$8/'Mode Operating Assumptions'!L11)</f>
        <v>81816.413151155051</v>
      </c>
      <c r="M35" s="227">
        <f>-(M34*'Mode Operating Assumptions'!$C$8/'Mode Operating Assumptions'!M11)</f>
        <v>82752.935395551278</v>
      </c>
      <c r="N35" s="227">
        <f>-(N34*'Mode Operating Assumptions'!$C$8/'Mode Operating Assumptions'!N11)</f>
        <v>83692.894686399479</v>
      </c>
      <c r="O35" s="227">
        <f>-(O34*'Mode Operating Assumptions'!$C$8/'Mode Operating Assumptions'!O11)</f>
        <v>84636.329827338064</v>
      </c>
      <c r="P35" s="227">
        <f>-(P34*'Mode Operating Assumptions'!$C$8/'Mode Operating Assumptions'!P11)</f>
        <v>85583.279982304084</v>
      </c>
      <c r="Q35" s="227">
        <f>-(Q34*'Mode Operating Assumptions'!$C$8/'Mode Operating Assumptions'!Q11)</f>
        <v>86533.78467900239</v>
      </c>
      <c r="R35" s="227">
        <f>-(R34*'Mode Operating Assumptions'!$C$8/'Mode Operating Assumptions'!R11)</f>
        <v>87487.883812408618</v>
      </c>
      <c r="S35" s="227">
        <f>-(S34*'Mode Operating Assumptions'!$C$8/'Mode Operating Assumptions'!S11)</f>
        <v>88445.617648304964</v>
      </c>
      <c r="T35" s="227">
        <f>-(T34*'Mode Operating Assumptions'!$C$8/'Mode Operating Assumptions'!T11)</f>
        <v>89407.026826850226</v>
      </c>
      <c r="U35" s="227">
        <f>-(U34*'Mode Operating Assumptions'!$C$8/'Mode Operating Assumptions'!U11)</f>
        <v>90451.107773589712</v>
      </c>
      <c r="V35" s="227">
        <f>-(V34*'Mode Operating Assumptions'!$C$8/'Mode Operating Assumptions'!V11)</f>
        <v>91498.863300170313</v>
      </c>
      <c r="W35" s="227">
        <f>-(W34*'Mode Operating Assumptions'!$C$8/'Mode Operating Assumptions'!W11)</f>
        <v>92550.335323022577</v>
      </c>
      <c r="X35" s="227">
        <f>-(X34*'Mode Operating Assumptions'!$C$8/'Mode Operating Assumptions'!X11)</f>
        <v>93605.566147301826</v>
      </c>
      <c r="Y35" s="227">
        <f>-(Y34*'Mode Operating Assumptions'!$C$8/'Mode Operating Assumptions'!Y11)</f>
        <v>94664.598470632933</v>
      </c>
      <c r="Z35" s="227">
        <f>-(Z34*'Mode Operating Assumptions'!$C$8/'Mode Operating Assumptions'!Z11)</f>
        <v>95727.47538689099</v>
      </c>
    </row>
    <row r="36" spans="1:26">
      <c r="G36"/>
      <c r="I36"/>
    </row>
    <row r="41" spans="1:26">
      <c r="A41" s="550" t="s">
        <v>248</v>
      </c>
      <c r="B41" s="552" t="s">
        <v>249</v>
      </c>
      <c r="C41" s="553"/>
      <c r="D41" s="553"/>
      <c r="E41" s="554"/>
      <c r="F41" s="552" t="s">
        <v>250</v>
      </c>
      <c r="G41" s="553"/>
      <c r="H41" s="553"/>
      <c r="I41" s="554"/>
    </row>
    <row r="42" spans="1:26" ht="13.5" thickBot="1">
      <c r="A42" s="551"/>
      <c r="B42" s="144">
        <v>2005</v>
      </c>
      <c r="C42" s="145">
        <v>2010</v>
      </c>
      <c r="D42" s="145">
        <v>2020</v>
      </c>
      <c r="E42" s="146">
        <v>2030</v>
      </c>
      <c r="F42" s="144">
        <v>2005</v>
      </c>
      <c r="G42" s="145">
        <v>2010</v>
      </c>
      <c r="H42" s="145">
        <v>2020</v>
      </c>
      <c r="I42" s="146">
        <v>2030</v>
      </c>
    </row>
    <row r="43" spans="1:26" s="377" customFormat="1" ht="11.25">
      <c r="A43" s="372" t="s">
        <v>556</v>
      </c>
      <c r="B43" s="373">
        <v>15705.38095238096</v>
      </c>
      <c r="C43" s="374">
        <v>17431.73443962646</v>
      </c>
      <c r="D43" s="374">
        <v>16294.711887247746</v>
      </c>
      <c r="E43" s="375">
        <v>18790.167397401852</v>
      </c>
      <c r="F43" s="373">
        <v>15416.380952380958</v>
      </c>
      <c r="G43" s="374">
        <v>17090.861095067357</v>
      </c>
      <c r="H43" s="374">
        <v>15890.192577579428</v>
      </c>
      <c r="I43" s="375">
        <v>18141.498119874588</v>
      </c>
      <c r="J43" s="376"/>
      <c r="K43" s="376"/>
      <c r="L43" s="376"/>
      <c r="M43" s="376"/>
      <c r="N43" s="376"/>
      <c r="O43" s="376"/>
    </row>
    <row r="44" spans="1:26">
      <c r="D44">
        <f>(D43-C43)/10</f>
        <v>-113.7022552378714</v>
      </c>
      <c r="E44">
        <f>(E43-D43)/10</f>
        <v>249.54555101541064</v>
      </c>
      <c r="H44">
        <f>(H43-G43)/10</f>
        <v>-120.06685174879294</v>
      </c>
      <c r="I44">
        <f>(I43-H43)/10</f>
        <v>225.13055422951601</v>
      </c>
    </row>
    <row r="45" spans="1:26">
      <c r="D45" s="125">
        <f>D44/C43</f>
        <v>-6.5227161205140462E-3</v>
      </c>
      <c r="E45" s="125">
        <f>E44/D43</f>
        <v>1.531451140358641E-2</v>
      </c>
      <c r="F45" s="125"/>
      <c r="G45" s="378"/>
      <c r="H45" s="125">
        <f>H44/G43</f>
        <v>-7.0252078628996514E-3</v>
      </c>
      <c r="I45" s="125">
        <f>I44/H43</f>
        <v>1.4167893380170124E-2</v>
      </c>
    </row>
    <row r="46" spans="1:26">
      <c r="D46" s="125"/>
      <c r="E46" s="125"/>
      <c r="F46" s="125"/>
      <c r="G46" s="378"/>
      <c r="H46" s="125"/>
      <c r="I46" s="125"/>
    </row>
    <row r="47" spans="1:26">
      <c r="C47" s="75">
        <v>2013</v>
      </c>
      <c r="D47" s="75">
        <v>2014</v>
      </c>
      <c r="E47" s="75">
        <v>2015</v>
      </c>
      <c r="F47" s="75">
        <v>2016</v>
      </c>
      <c r="G47" s="75">
        <v>2017</v>
      </c>
      <c r="H47" s="75">
        <v>2018</v>
      </c>
      <c r="I47" s="75">
        <v>2019</v>
      </c>
      <c r="J47" s="75">
        <v>2020</v>
      </c>
      <c r="K47" s="75">
        <v>2021</v>
      </c>
      <c r="L47" s="75">
        <v>2022</v>
      </c>
      <c r="M47" s="75">
        <v>2023</v>
      </c>
      <c r="N47" s="75">
        <v>2024</v>
      </c>
      <c r="O47" s="75">
        <v>2025</v>
      </c>
      <c r="P47" s="75">
        <v>2026</v>
      </c>
      <c r="Q47" s="75">
        <v>2027</v>
      </c>
      <c r="R47" s="75">
        <v>2028</v>
      </c>
      <c r="S47" s="75">
        <v>2029</v>
      </c>
      <c r="T47" s="75">
        <v>2030</v>
      </c>
      <c r="U47" s="75">
        <v>2031</v>
      </c>
      <c r="V47" s="75">
        <v>2032</v>
      </c>
      <c r="W47" s="75">
        <v>2033</v>
      </c>
      <c r="X47" s="75">
        <v>2034</v>
      </c>
      <c r="Y47" s="75">
        <v>2035</v>
      </c>
      <c r="Z47" s="75">
        <v>2036</v>
      </c>
    </row>
    <row r="48" spans="1:26">
      <c r="C48" s="75" t="s">
        <v>18</v>
      </c>
      <c r="D48" s="72" t="s">
        <v>19</v>
      </c>
      <c r="E48" s="72" t="s">
        <v>20</v>
      </c>
      <c r="F48" s="72" t="s">
        <v>21</v>
      </c>
      <c r="G48" s="72" t="s">
        <v>22</v>
      </c>
      <c r="H48" s="72" t="s">
        <v>23</v>
      </c>
      <c r="I48" s="72" t="s">
        <v>24</v>
      </c>
      <c r="J48" s="72" t="s">
        <v>25</v>
      </c>
      <c r="K48" s="72" t="s">
        <v>26</v>
      </c>
      <c r="L48" s="72" t="s">
        <v>27</v>
      </c>
      <c r="M48" s="72" t="s">
        <v>28</v>
      </c>
      <c r="N48" s="72" t="s">
        <v>29</v>
      </c>
      <c r="O48" s="72" t="s">
        <v>30</v>
      </c>
      <c r="P48" s="72" t="s">
        <v>31</v>
      </c>
      <c r="Q48" s="72" t="s">
        <v>32</v>
      </c>
      <c r="R48" s="72" t="s">
        <v>33</v>
      </c>
      <c r="S48" s="72" t="s">
        <v>34</v>
      </c>
      <c r="T48" s="72" t="s">
        <v>35</v>
      </c>
      <c r="U48" s="72" t="s">
        <v>36</v>
      </c>
      <c r="V48" s="72" t="s">
        <v>123</v>
      </c>
      <c r="W48" s="72" t="s">
        <v>242</v>
      </c>
      <c r="X48" s="72" t="s">
        <v>243</v>
      </c>
      <c r="Y48" s="72" t="s">
        <v>244</v>
      </c>
      <c r="Z48" s="72" t="s">
        <v>245</v>
      </c>
    </row>
    <row r="49" spans="1:26">
      <c r="B49" s="26" t="s">
        <v>252</v>
      </c>
      <c r="C49" s="379">
        <f t="shared" ref="C49:I49" si="20">$C$43*(1+($D$45*(C47-2010)))+$G$43*(1+($H$45*(C47-2010)))</f>
        <v>33821.288213733824</v>
      </c>
      <c r="D49" s="379">
        <f t="shared" si="20"/>
        <v>33587.519106747161</v>
      </c>
      <c r="E49" s="379">
        <f t="shared" si="20"/>
        <v>33353.74999976049</v>
      </c>
      <c r="F49" s="379">
        <f t="shared" si="20"/>
        <v>33119.980892773834</v>
      </c>
      <c r="G49" s="379">
        <f t="shared" si="20"/>
        <v>32886.211785787164</v>
      </c>
      <c r="H49" s="379">
        <f t="shared" si="20"/>
        <v>32652.442678800504</v>
      </c>
      <c r="I49" s="379">
        <f t="shared" si="20"/>
        <v>32418.673571813837</v>
      </c>
      <c r="J49" s="147">
        <f>H43+D43</f>
        <v>32184.904464827174</v>
      </c>
      <c r="K49" s="379">
        <f t="shared" ref="K49:S49" si="21">$D$43*(1+($E$45*(K47-2020)))+$H$43*(1+($I$45*(K47-2020)))</f>
        <v>32659.580570072103</v>
      </c>
      <c r="L49" s="379">
        <f t="shared" si="21"/>
        <v>33134.256675317025</v>
      </c>
      <c r="M49" s="379">
        <f t="shared" si="21"/>
        <v>33608.932780561954</v>
      </c>
      <c r="N49" s="379">
        <f t="shared" si="21"/>
        <v>34083.608885806883</v>
      </c>
      <c r="O49" s="379">
        <f t="shared" si="21"/>
        <v>34558.284991051805</v>
      </c>
      <c r="P49" s="379">
        <f t="shared" si="21"/>
        <v>35032.961096296727</v>
      </c>
      <c r="Q49" s="379">
        <f t="shared" si="21"/>
        <v>35507.637201541656</v>
      </c>
      <c r="R49" s="379">
        <f t="shared" si="21"/>
        <v>35982.313306786586</v>
      </c>
      <c r="S49" s="379">
        <f t="shared" si="21"/>
        <v>36456.989412031515</v>
      </c>
      <c r="T49" s="379">
        <f>I43+E43</f>
        <v>36931.665517276444</v>
      </c>
      <c r="U49" s="379">
        <f t="shared" ref="U49:Z49" si="22">$E$43*(1+($E$45*(U47-2030)))+$I$43*(1+($I$45*(U47-2030)))</f>
        <v>37476.454561278188</v>
      </c>
      <c r="V49" s="379">
        <f t="shared" si="22"/>
        <v>38021.243605279938</v>
      </c>
      <c r="W49" s="379">
        <f t="shared" si="22"/>
        <v>38566.032649281682</v>
      </c>
      <c r="X49" s="379">
        <f t="shared" si="22"/>
        <v>39110.821693283433</v>
      </c>
      <c r="Y49" s="379">
        <f t="shared" si="22"/>
        <v>39655.610737285184</v>
      </c>
      <c r="Z49" s="379">
        <f t="shared" si="22"/>
        <v>40200.399781286935</v>
      </c>
    </row>
    <row r="50" spans="1:26">
      <c r="U50" s="506"/>
    </row>
    <row r="51" spans="1:26" s="25" customFormat="1">
      <c r="A51" s="228" t="s">
        <v>391</v>
      </c>
      <c r="D51" s="149"/>
      <c r="E51" s="149"/>
      <c r="F51" s="149"/>
      <c r="H51" s="149"/>
      <c r="I51" s="149"/>
      <c r="J51" s="149"/>
      <c r="L51" s="149"/>
      <c r="M51" s="149"/>
      <c r="N51" s="149"/>
      <c r="P51" s="149"/>
      <c r="Q51" s="149"/>
      <c r="R51" s="149"/>
      <c r="T51" s="149"/>
      <c r="U51" s="150"/>
      <c r="V51" s="150"/>
      <c r="X51" s="149"/>
      <c r="Y51" s="149"/>
      <c r="Z51" s="149"/>
    </row>
    <row r="52" spans="1:26" s="155" customFormat="1">
      <c r="A52" s="154" t="s">
        <v>274</v>
      </c>
      <c r="B52" s="154" t="s">
        <v>256</v>
      </c>
      <c r="C52" s="154" t="s">
        <v>257</v>
      </c>
      <c r="D52" s="154" t="s">
        <v>258</v>
      </c>
      <c r="E52" s="154" t="s">
        <v>259</v>
      </c>
      <c r="F52" s="154" t="s">
        <v>260</v>
      </c>
      <c r="G52" s="154" t="s">
        <v>261</v>
      </c>
      <c r="H52" s="154" t="s">
        <v>262</v>
      </c>
      <c r="I52" s="154" t="s">
        <v>263</v>
      </c>
      <c r="J52" s="154" t="s">
        <v>264</v>
      </c>
      <c r="K52" s="154" t="s">
        <v>265</v>
      </c>
      <c r="L52" s="154" t="s">
        <v>266</v>
      </c>
      <c r="M52" s="154" t="s">
        <v>267</v>
      </c>
      <c r="N52" s="154" t="s">
        <v>268</v>
      </c>
      <c r="O52" s="154" t="s">
        <v>269</v>
      </c>
      <c r="P52" s="154" t="s">
        <v>270</v>
      </c>
      <c r="Q52" s="154" t="s">
        <v>271</v>
      </c>
      <c r="R52" s="154" t="s">
        <v>272</v>
      </c>
    </row>
    <row r="53" spans="1:26" s="156" customFormat="1">
      <c r="A53" s="381" t="s">
        <v>557</v>
      </c>
      <c r="B53" s="382">
        <v>14960.077569999947</v>
      </c>
      <c r="C53" s="153"/>
      <c r="D53" s="153"/>
      <c r="E53" s="382">
        <v>118.54209999999998</v>
      </c>
      <c r="F53" s="382">
        <v>890.05677000000003</v>
      </c>
      <c r="G53" s="382">
        <v>107.97989000000001</v>
      </c>
      <c r="H53" s="153"/>
      <c r="I53" s="382">
        <v>1121.6980100000001</v>
      </c>
      <c r="J53" s="153"/>
      <c r="K53" s="153"/>
      <c r="L53" s="382">
        <v>1766.301059999998</v>
      </c>
      <c r="M53" s="153"/>
      <c r="N53" s="382">
        <v>1672.5644299999976</v>
      </c>
      <c r="O53" s="153"/>
      <c r="P53" s="382">
        <v>11.85421</v>
      </c>
      <c r="Q53" s="382">
        <v>23.42708</v>
      </c>
      <c r="R53" s="382">
        <v>9247.6540200000218</v>
      </c>
    </row>
    <row r="54" spans="1:26">
      <c r="E54" s="125">
        <f>E53/$B53</f>
        <v>7.923896079103045E-3</v>
      </c>
      <c r="F54" s="125">
        <f t="shared" ref="F54:R54" si="23">F53/$B53</f>
        <v>5.9495464902191895E-2</v>
      </c>
      <c r="G54" s="125">
        <f t="shared" si="23"/>
        <v>7.2178696597493914E-3</v>
      </c>
      <c r="H54" s="125">
        <f t="shared" si="23"/>
        <v>0</v>
      </c>
      <c r="I54" s="125">
        <f t="shared" si="23"/>
        <v>7.4979424722328103E-2</v>
      </c>
      <c r="J54" s="125">
        <f t="shared" si="23"/>
        <v>0</v>
      </c>
      <c r="K54" s="125">
        <f t="shared" si="23"/>
        <v>0</v>
      </c>
      <c r="L54" s="125">
        <f t="shared" si="23"/>
        <v>0.11806764047413988</v>
      </c>
      <c r="M54" s="125">
        <f t="shared" si="23"/>
        <v>0</v>
      </c>
      <c r="N54" s="125">
        <f t="shared" si="23"/>
        <v>0.11180185544987141</v>
      </c>
      <c r="O54" s="125">
        <f t="shared" si="23"/>
        <v>0</v>
      </c>
      <c r="P54" s="125">
        <f t="shared" si="23"/>
        <v>7.9238960791030457E-4</v>
      </c>
      <c r="Q54" s="125">
        <f t="shared" si="23"/>
        <v>1.5659731636003865E-3</v>
      </c>
      <c r="R54" s="125">
        <f t="shared" si="23"/>
        <v>0.61815548594111036</v>
      </c>
    </row>
    <row r="55" spans="1:26" ht="15">
      <c r="B55" s="135" t="s">
        <v>273</v>
      </c>
      <c r="G55"/>
      <c r="I55"/>
    </row>
    <row r="56" spans="1:26">
      <c r="C56" s="75">
        <v>2013</v>
      </c>
      <c r="D56" s="75">
        <v>2014</v>
      </c>
      <c r="E56" s="75">
        <v>2015</v>
      </c>
      <c r="F56" s="75">
        <v>2016</v>
      </c>
      <c r="G56" s="75">
        <v>2017</v>
      </c>
      <c r="H56" s="75">
        <v>2018</v>
      </c>
      <c r="I56" s="75">
        <v>2019</v>
      </c>
      <c r="J56" s="75">
        <v>2020</v>
      </c>
      <c r="K56" s="75">
        <v>2021</v>
      </c>
      <c r="L56" s="75">
        <v>2022</v>
      </c>
      <c r="M56" s="75">
        <v>2023</v>
      </c>
      <c r="N56" s="75">
        <v>2024</v>
      </c>
      <c r="O56" s="75">
        <v>2025</v>
      </c>
      <c r="P56" s="75">
        <v>2026</v>
      </c>
      <c r="Q56" s="75">
        <v>2027</v>
      </c>
      <c r="R56" s="75">
        <v>2028</v>
      </c>
      <c r="S56" s="75">
        <v>2029</v>
      </c>
      <c r="T56" s="75">
        <v>2030</v>
      </c>
      <c r="U56" s="75">
        <v>2031</v>
      </c>
      <c r="V56" s="75">
        <v>2032</v>
      </c>
      <c r="W56" s="75">
        <v>2033</v>
      </c>
      <c r="X56" s="75">
        <v>2034</v>
      </c>
      <c r="Y56" s="75">
        <v>2035</v>
      </c>
      <c r="Z56" s="75">
        <v>2036</v>
      </c>
    </row>
    <row r="57" spans="1:26">
      <c r="C57" s="75" t="s">
        <v>18</v>
      </c>
      <c r="D57" s="72" t="s">
        <v>19</v>
      </c>
      <c r="E57" s="72" t="s">
        <v>20</v>
      </c>
      <c r="F57" s="72" t="s">
        <v>21</v>
      </c>
      <c r="G57" s="72" t="s">
        <v>22</v>
      </c>
      <c r="H57" s="72" t="s">
        <v>23</v>
      </c>
      <c r="I57" s="72" t="s">
        <v>24</v>
      </c>
      <c r="J57" s="72" t="s">
        <v>25</v>
      </c>
      <c r="K57" s="72" t="s">
        <v>26</v>
      </c>
      <c r="L57" s="72" t="s">
        <v>27</v>
      </c>
      <c r="M57" s="72" t="s">
        <v>28</v>
      </c>
      <c r="N57" s="72" t="s">
        <v>29</v>
      </c>
      <c r="O57" s="72" t="s">
        <v>30</v>
      </c>
      <c r="P57" s="72" t="s">
        <v>31</v>
      </c>
      <c r="Q57" s="72" t="s">
        <v>32</v>
      </c>
      <c r="R57" s="72" t="s">
        <v>33</v>
      </c>
      <c r="S57" s="72" t="s">
        <v>34</v>
      </c>
      <c r="T57" s="72" t="s">
        <v>35</v>
      </c>
      <c r="U57" s="72" t="s">
        <v>36</v>
      </c>
      <c r="V57" s="72" t="s">
        <v>123</v>
      </c>
      <c r="W57" s="72" t="s">
        <v>242</v>
      </c>
      <c r="X57" s="72" t="s">
        <v>243</v>
      </c>
      <c r="Y57" s="72" t="s">
        <v>244</v>
      </c>
      <c r="Z57" s="72" t="s">
        <v>245</v>
      </c>
    </row>
    <row r="58" spans="1:26">
      <c r="A58" s="130">
        <f>R54</f>
        <v>0.61815548594111036</v>
      </c>
      <c r="B58" t="s">
        <v>125</v>
      </c>
      <c r="C58" s="34">
        <f>C$49*$A58</f>
        <v>20906.81485091498</v>
      </c>
      <c r="D58" s="34">
        <f t="shared" ref="D58:S64" si="24">D$49*$A58</f>
        <v>20762.309194987622</v>
      </c>
      <c r="E58" s="34">
        <f t="shared" si="24"/>
        <v>20617.803539060256</v>
      </c>
      <c r="F58" s="34">
        <f t="shared" si="24"/>
        <v>20473.297883132898</v>
      </c>
      <c r="G58" s="34">
        <f t="shared" si="24"/>
        <v>20328.792227205537</v>
      </c>
      <c r="H58" s="34">
        <f t="shared" si="24"/>
        <v>20184.286571278179</v>
      </c>
      <c r="I58" s="34">
        <f t="shared" si="24"/>
        <v>20039.780915350813</v>
      </c>
      <c r="J58" s="34">
        <f t="shared" si="24"/>
        <v>19895.275259423455</v>
      </c>
      <c r="K58" s="34">
        <f t="shared" si="24"/>
        <v>20188.698897925766</v>
      </c>
      <c r="L58" s="34">
        <f t="shared" si="24"/>
        <v>20482.122536428076</v>
      </c>
      <c r="M58" s="34">
        <f t="shared" si="24"/>
        <v>20775.546174930387</v>
      </c>
      <c r="N58" s="34">
        <f t="shared" si="24"/>
        <v>21068.969813432701</v>
      </c>
      <c r="O58" s="34">
        <f t="shared" si="24"/>
        <v>21362.393451935008</v>
      </c>
      <c r="P58" s="34">
        <f t="shared" si="24"/>
        <v>21655.817090437318</v>
      </c>
      <c r="Q58" s="34">
        <f t="shared" si="24"/>
        <v>21949.240728939632</v>
      </c>
      <c r="R58" s="34">
        <f t="shared" si="24"/>
        <v>22242.664367441943</v>
      </c>
      <c r="S58" s="34">
        <f t="shared" si="24"/>
        <v>22536.088005944257</v>
      </c>
      <c r="T58" s="34">
        <f t="shared" ref="S58:Z64" si="25">T$49*$A58</f>
        <v>22829.511644446568</v>
      </c>
      <c r="U58" s="34">
        <f t="shared" si="25"/>
        <v>23166.275980676859</v>
      </c>
      <c r="V58" s="34">
        <f t="shared" si="25"/>
        <v>23503.040316907154</v>
      </c>
      <c r="W58" s="34">
        <f t="shared" si="25"/>
        <v>23839.804653137446</v>
      </c>
      <c r="X58" s="34">
        <f t="shared" si="25"/>
        <v>24176.568989367741</v>
      </c>
      <c r="Y58" s="34">
        <f t="shared" si="25"/>
        <v>24513.333325598036</v>
      </c>
      <c r="Z58" s="34">
        <f t="shared" si="25"/>
        <v>24850.097661828331</v>
      </c>
    </row>
    <row r="59" spans="1:26">
      <c r="A59" s="130">
        <f>G54</f>
        <v>7.2178696597493914E-3</v>
      </c>
      <c r="B59" t="s">
        <v>222</v>
      </c>
      <c r="C59" s="34">
        <f t="shared" ref="C59:C64" si="26">C$49*$A59</f>
        <v>244.11765005154905</v>
      </c>
      <c r="D59" s="34">
        <f t="shared" si="24"/>
        <v>242.4303351068433</v>
      </c>
      <c r="E59" s="34">
        <f t="shared" si="24"/>
        <v>240.74302016213753</v>
      </c>
      <c r="F59" s="34">
        <f t="shared" si="24"/>
        <v>239.05570521743181</v>
      </c>
      <c r="G59" s="34">
        <f t="shared" si="24"/>
        <v>237.36839027272603</v>
      </c>
      <c r="H59" s="34">
        <f t="shared" si="24"/>
        <v>235.68107532802031</v>
      </c>
      <c r="I59" s="34">
        <f t="shared" si="24"/>
        <v>233.99376038331454</v>
      </c>
      <c r="J59" s="34">
        <f t="shared" si="24"/>
        <v>232.30644543860879</v>
      </c>
      <c r="K59" s="34">
        <f t="shared" si="24"/>
        <v>235.73259569686417</v>
      </c>
      <c r="L59" s="34">
        <f t="shared" si="24"/>
        <v>239.15874595511949</v>
      </c>
      <c r="M59" s="34">
        <f t="shared" si="24"/>
        <v>242.58489621337489</v>
      </c>
      <c r="N59" s="34">
        <f t="shared" si="24"/>
        <v>246.01104647163027</v>
      </c>
      <c r="O59" s="34">
        <f t="shared" si="24"/>
        <v>249.43719672988559</v>
      </c>
      <c r="P59" s="34">
        <f t="shared" si="24"/>
        <v>252.86334698814093</v>
      </c>
      <c r="Q59" s="34">
        <f t="shared" si="24"/>
        <v>256.28949724639631</v>
      </c>
      <c r="R59" s="34">
        <f t="shared" si="24"/>
        <v>259.71564750465171</v>
      </c>
      <c r="S59" s="34">
        <f t="shared" si="25"/>
        <v>263.14179776290706</v>
      </c>
      <c r="T59" s="34">
        <f t="shared" si="25"/>
        <v>266.56794802116247</v>
      </c>
      <c r="U59" s="34">
        <f t="shared" si="25"/>
        <v>270.5001643328265</v>
      </c>
      <c r="V59" s="34">
        <f t="shared" si="25"/>
        <v>274.43238064449065</v>
      </c>
      <c r="W59" s="34">
        <f t="shared" si="25"/>
        <v>278.36459695615468</v>
      </c>
      <c r="X59" s="34">
        <f t="shared" si="25"/>
        <v>282.29681326781883</v>
      </c>
      <c r="Y59" s="34">
        <f t="shared" si="25"/>
        <v>286.22902957948293</v>
      </c>
      <c r="Z59" s="34">
        <f t="shared" si="25"/>
        <v>290.16124589114702</v>
      </c>
    </row>
    <row r="60" spans="1:26">
      <c r="A60" s="130">
        <f>I54</f>
        <v>7.4979424722328103E-2</v>
      </c>
      <c r="B60" s="26" t="s">
        <v>227</v>
      </c>
      <c r="C60" s="34">
        <f t="shared" si="26"/>
        <v>2535.9007336338182</v>
      </c>
      <c r="D60" s="34">
        <f t="shared" si="24"/>
        <v>2518.3728604741054</v>
      </c>
      <c r="E60" s="34">
        <f t="shared" si="24"/>
        <v>2500.8449873143927</v>
      </c>
      <c r="F60" s="34">
        <f t="shared" si="24"/>
        <v>2483.3171141546809</v>
      </c>
      <c r="G60" s="34">
        <f t="shared" si="24"/>
        <v>2465.7892409949677</v>
      </c>
      <c r="H60" s="34">
        <f t="shared" si="24"/>
        <v>2448.2613678352559</v>
      </c>
      <c r="I60" s="34">
        <f t="shared" si="24"/>
        <v>2430.7334946755432</v>
      </c>
      <c r="J60" s="34">
        <f t="shared" si="24"/>
        <v>2413.2056215158309</v>
      </c>
      <c r="K60" s="34">
        <f t="shared" si="24"/>
        <v>2448.7965628165307</v>
      </c>
      <c r="L60" s="34">
        <f t="shared" si="24"/>
        <v>2484.3875041172305</v>
      </c>
      <c r="M60" s="34">
        <f t="shared" si="24"/>
        <v>2519.9784454179303</v>
      </c>
      <c r="N60" s="34">
        <f t="shared" si="24"/>
        <v>2555.5693867186305</v>
      </c>
      <c r="O60" s="34">
        <f t="shared" si="24"/>
        <v>2591.1603280193299</v>
      </c>
      <c r="P60" s="34">
        <f t="shared" si="24"/>
        <v>2626.7512693200297</v>
      </c>
      <c r="Q60" s="34">
        <f t="shared" si="24"/>
        <v>2662.3422106207295</v>
      </c>
      <c r="R60" s="34">
        <f t="shared" si="24"/>
        <v>2697.9331519214297</v>
      </c>
      <c r="S60" s="34">
        <f t="shared" si="25"/>
        <v>2733.5240932221295</v>
      </c>
      <c r="T60" s="34">
        <f t="shared" si="25"/>
        <v>2769.1150345228298</v>
      </c>
      <c r="U60" s="34">
        <f t="shared" si="25"/>
        <v>2809.9630036371077</v>
      </c>
      <c r="V60" s="34">
        <f t="shared" si="25"/>
        <v>2850.8109727513861</v>
      </c>
      <c r="W60" s="34">
        <f t="shared" si="25"/>
        <v>2891.6589418656636</v>
      </c>
      <c r="X60" s="34">
        <f t="shared" si="25"/>
        <v>2932.5069109799419</v>
      </c>
      <c r="Y60" s="34">
        <f t="shared" si="25"/>
        <v>2973.3548800942203</v>
      </c>
      <c r="Z60" s="34">
        <f t="shared" si="25"/>
        <v>3014.2028492084987</v>
      </c>
    </row>
    <row r="61" spans="1:26">
      <c r="A61" s="130">
        <f>F54</f>
        <v>5.9495464902191895E-2</v>
      </c>
      <c r="B61" s="26" t="s">
        <v>228</v>
      </c>
      <c r="C61" s="34">
        <f t="shared" si="26"/>
        <v>2012.2132658671171</v>
      </c>
      <c r="D61" s="34">
        <f t="shared" si="24"/>
        <v>1998.3050641671755</v>
      </c>
      <c r="E61" s="34">
        <f t="shared" si="24"/>
        <v>1984.3968624672332</v>
      </c>
      <c r="F61" s="34">
        <f t="shared" si="24"/>
        <v>1970.4886607672918</v>
      </c>
      <c r="G61" s="34">
        <f t="shared" si="24"/>
        <v>1956.5804590673497</v>
      </c>
      <c r="H61" s="34">
        <f t="shared" si="24"/>
        <v>1942.6722573674081</v>
      </c>
      <c r="I61" s="34">
        <f t="shared" si="24"/>
        <v>1928.7640556674662</v>
      </c>
      <c r="J61" s="34">
        <f t="shared" si="24"/>
        <v>1914.8558539675244</v>
      </c>
      <c r="K61" s="34">
        <f t="shared" si="24"/>
        <v>1943.0969295270331</v>
      </c>
      <c r="L61" s="34">
        <f t="shared" si="24"/>
        <v>1971.3380050865417</v>
      </c>
      <c r="M61" s="34">
        <f t="shared" si="24"/>
        <v>1999.5790806460504</v>
      </c>
      <c r="N61" s="34">
        <f t="shared" si="24"/>
        <v>2027.8201562055592</v>
      </c>
      <c r="O61" s="34">
        <f t="shared" si="24"/>
        <v>2056.0612317650675</v>
      </c>
      <c r="P61" s="34">
        <f t="shared" si="24"/>
        <v>2084.3023073245758</v>
      </c>
      <c r="Q61" s="34">
        <f t="shared" si="24"/>
        <v>2112.5433828840851</v>
      </c>
      <c r="R61" s="34">
        <f t="shared" si="24"/>
        <v>2140.7844584435938</v>
      </c>
      <c r="S61" s="34">
        <f t="shared" si="25"/>
        <v>2169.0255340031026</v>
      </c>
      <c r="T61" s="34">
        <f t="shared" si="25"/>
        <v>2197.2666095626114</v>
      </c>
      <c r="U61" s="34">
        <f t="shared" si="25"/>
        <v>2229.6790870091158</v>
      </c>
      <c r="V61" s="34">
        <f t="shared" si="25"/>
        <v>2262.0915644556208</v>
      </c>
      <c r="W61" s="34">
        <f t="shared" si="25"/>
        <v>2294.5040419021252</v>
      </c>
      <c r="X61" s="34">
        <f t="shared" si="25"/>
        <v>2326.9165193486297</v>
      </c>
      <c r="Y61" s="34">
        <f t="shared" si="25"/>
        <v>2359.3289967951346</v>
      </c>
      <c r="Z61" s="34">
        <f t="shared" si="25"/>
        <v>2391.7414742416395</v>
      </c>
    </row>
    <row r="62" spans="1:26">
      <c r="A62" s="130">
        <f>E54+L54+N54</f>
        <v>0.23779339200311433</v>
      </c>
      <c r="B62" t="s">
        <v>221</v>
      </c>
      <c r="C62" s="34">
        <f t="shared" si="26"/>
        <v>8042.4788462587176</v>
      </c>
      <c r="D62" s="34">
        <f t="shared" si="24"/>
        <v>7986.8900973628206</v>
      </c>
      <c r="E62" s="34">
        <f t="shared" si="24"/>
        <v>7931.3013484669209</v>
      </c>
      <c r="F62" s="34">
        <f t="shared" si="24"/>
        <v>7875.7125995710248</v>
      </c>
      <c r="G62" s="34">
        <f t="shared" si="24"/>
        <v>7820.1238506751261</v>
      </c>
      <c r="H62" s="34">
        <f t="shared" si="24"/>
        <v>7764.5351017792291</v>
      </c>
      <c r="I62" s="34">
        <f t="shared" si="24"/>
        <v>7708.9463528833303</v>
      </c>
      <c r="J62" s="34">
        <f t="shared" si="24"/>
        <v>7653.3576039874333</v>
      </c>
      <c r="K62" s="34">
        <f t="shared" si="24"/>
        <v>7766.2324451564518</v>
      </c>
      <c r="L62" s="34">
        <f t="shared" si="24"/>
        <v>7879.1072863254694</v>
      </c>
      <c r="M62" s="34">
        <f t="shared" si="24"/>
        <v>7991.9821274944879</v>
      </c>
      <c r="N62" s="34">
        <f t="shared" si="24"/>
        <v>8104.8569686635074</v>
      </c>
      <c r="O62" s="34">
        <f t="shared" si="24"/>
        <v>8217.731809832525</v>
      </c>
      <c r="P62" s="34">
        <f t="shared" si="24"/>
        <v>8330.6066510015426</v>
      </c>
      <c r="Q62" s="34">
        <f t="shared" si="24"/>
        <v>8443.4814921705602</v>
      </c>
      <c r="R62" s="34">
        <f t="shared" si="24"/>
        <v>8556.3563333395796</v>
      </c>
      <c r="S62" s="34">
        <f t="shared" si="25"/>
        <v>8669.231174508599</v>
      </c>
      <c r="T62" s="34">
        <f t="shared" si="25"/>
        <v>8782.1060156776184</v>
      </c>
      <c r="U62" s="34">
        <f t="shared" si="25"/>
        <v>8911.6532503769267</v>
      </c>
      <c r="V62" s="34">
        <f t="shared" si="25"/>
        <v>9041.2004850762369</v>
      </c>
      <c r="W62" s="34">
        <f t="shared" si="25"/>
        <v>9170.7477197755452</v>
      </c>
      <c r="X62" s="34">
        <f t="shared" si="25"/>
        <v>9300.2949544748553</v>
      </c>
      <c r="Y62" s="34">
        <f t="shared" si="25"/>
        <v>9429.8421891741655</v>
      </c>
      <c r="Z62" s="34">
        <f t="shared" si="25"/>
        <v>9559.3894238734756</v>
      </c>
    </row>
    <row r="63" spans="1:26">
      <c r="A63" s="130">
        <f>P54+Q54</f>
        <v>2.358362771510691E-3</v>
      </c>
      <c r="B63" s="26" t="s">
        <v>226</v>
      </c>
      <c r="C63" s="34">
        <f t="shared" si="26"/>
        <v>79.762867007803166</v>
      </c>
      <c r="D63" s="34">
        <f t="shared" si="24"/>
        <v>79.211554648756518</v>
      </c>
      <c r="E63" s="34">
        <f t="shared" si="24"/>
        <v>78.660242289709856</v>
      </c>
      <c r="F63" s="34">
        <f t="shared" si="24"/>
        <v>78.108929930663223</v>
      </c>
      <c r="G63" s="34">
        <f t="shared" si="24"/>
        <v>77.557617571616561</v>
      </c>
      <c r="H63" s="34">
        <f t="shared" si="24"/>
        <v>77.006305212569927</v>
      </c>
      <c r="I63" s="34">
        <f t="shared" si="24"/>
        <v>76.454992853523265</v>
      </c>
      <c r="J63" s="34">
        <f t="shared" si="24"/>
        <v>75.903680494476632</v>
      </c>
      <c r="K63" s="34">
        <f t="shared" si="24"/>
        <v>77.023138949611962</v>
      </c>
      <c r="L63" s="34">
        <f t="shared" si="24"/>
        <v>78.142597404747278</v>
      </c>
      <c r="M63" s="34">
        <f t="shared" si="24"/>
        <v>79.262055859882608</v>
      </c>
      <c r="N63" s="34">
        <f t="shared" si="24"/>
        <v>80.381514315017938</v>
      </c>
      <c r="O63" s="34">
        <f t="shared" si="24"/>
        <v>81.500972770153254</v>
      </c>
      <c r="P63" s="34">
        <f t="shared" si="24"/>
        <v>82.62043122528857</v>
      </c>
      <c r="Q63" s="34">
        <f t="shared" si="24"/>
        <v>83.7398896804239</v>
      </c>
      <c r="R63" s="34">
        <f t="shared" si="24"/>
        <v>84.85934813555923</v>
      </c>
      <c r="S63" s="34">
        <f t="shared" si="25"/>
        <v>85.97880659069456</v>
      </c>
      <c r="T63" s="34">
        <f t="shared" si="25"/>
        <v>87.098265045829891</v>
      </c>
      <c r="U63" s="34">
        <f t="shared" si="25"/>
        <v>88.383075245530506</v>
      </c>
      <c r="V63" s="34">
        <f t="shared" si="25"/>
        <v>89.667885445231136</v>
      </c>
      <c r="W63" s="34">
        <f t="shared" si="25"/>
        <v>90.952695644931737</v>
      </c>
      <c r="X63" s="34">
        <f t="shared" si="25"/>
        <v>92.237505844632366</v>
      </c>
      <c r="Y63" s="34">
        <f t="shared" si="25"/>
        <v>93.522316044332996</v>
      </c>
      <c r="Z63" s="34">
        <f t="shared" si="25"/>
        <v>94.807126244033626</v>
      </c>
    </row>
    <row r="64" spans="1:26">
      <c r="A64" s="130">
        <f>SUM(A58:A63)</f>
        <v>1.0000000000000047</v>
      </c>
      <c r="B64" s="53"/>
      <c r="C64" s="34">
        <f t="shared" si="26"/>
        <v>33821.288213733984</v>
      </c>
      <c r="D64" s="34">
        <f t="shared" si="24"/>
        <v>33587.519106747321</v>
      </c>
      <c r="E64" s="34">
        <f t="shared" si="24"/>
        <v>33353.749999760643</v>
      </c>
      <c r="F64" s="34">
        <f t="shared" si="24"/>
        <v>33119.980892773987</v>
      </c>
      <c r="G64" s="34">
        <f t="shared" si="24"/>
        <v>32886.211785787316</v>
      </c>
      <c r="H64" s="34">
        <f t="shared" si="24"/>
        <v>32652.442678800657</v>
      </c>
      <c r="I64" s="34">
        <f t="shared" si="24"/>
        <v>32418.67357181399</v>
      </c>
      <c r="J64" s="34">
        <f t="shared" si="24"/>
        <v>32184.904464827323</v>
      </c>
      <c r="K64" s="34">
        <f t="shared" si="24"/>
        <v>32659.580570072256</v>
      </c>
      <c r="L64" s="34">
        <f t="shared" si="24"/>
        <v>33134.256675317178</v>
      </c>
      <c r="M64" s="34">
        <f t="shared" si="24"/>
        <v>33608.932780562114</v>
      </c>
      <c r="N64" s="34">
        <f t="shared" si="24"/>
        <v>34083.608885807043</v>
      </c>
      <c r="O64" s="34">
        <f t="shared" si="24"/>
        <v>34558.284991051965</v>
      </c>
      <c r="P64" s="34">
        <f t="shared" si="24"/>
        <v>35032.961096296887</v>
      </c>
      <c r="Q64" s="34">
        <f t="shared" si="24"/>
        <v>35507.637201541824</v>
      </c>
      <c r="R64" s="34">
        <f t="shared" si="24"/>
        <v>35982.313306786753</v>
      </c>
      <c r="S64" s="34">
        <f t="shared" si="25"/>
        <v>36456.989412031682</v>
      </c>
      <c r="T64" s="34">
        <f t="shared" si="25"/>
        <v>36931.665517276619</v>
      </c>
      <c r="U64" s="34">
        <f t="shared" si="25"/>
        <v>37476.454561278362</v>
      </c>
      <c r="V64" s="34">
        <f t="shared" si="25"/>
        <v>38021.243605280113</v>
      </c>
      <c r="W64" s="34">
        <f t="shared" si="25"/>
        <v>38566.032649281864</v>
      </c>
      <c r="X64" s="34">
        <f t="shared" si="25"/>
        <v>39110.821693283615</v>
      </c>
      <c r="Y64" s="34">
        <f t="shared" si="25"/>
        <v>39655.610737285366</v>
      </c>
      <c r="Z64" s="34">
        <f t="shared" si="25"/>
        <v>40200.399781287124</v>
      </c>
    </row>
    <row r="67" spans="1:26">
      <c r="A67" s="26" t="s">
        <v>392</v>
      </c>
      <c r="G67"/>
      <c r="I67"/>
    </row>
    <row r="68" spans="1:26">
      <c r="B68" s="26" t="s">
        <v>558</v>
      </c>
      <c r="C68" s="26" t="s">
        <v>600</v>
      </c>
      <c r="G68"/>
      <c r="I68"/>
    </row>
    <row r="69" spans="1:26">
      <c r="B69" s="231">
        <f>20000/C49</f>
        <v>0.59134353113961502</v>
      </c>
      <c r="C69">
        <f>B69*C58</f>
        <v>12363.109718822208</v>
      </c>
      <c r="G69"/>
      <c r="I69"/>
    </row>
    <row r="70" spans="1:26">
      <c r="A70" s="5" t="s">
        <v>351</v>
      </c>
      <c r="G70"/>
      <c r="I70"/>
    </row>
    <row r="71" spans="1:26">
      <c r="A71" s="26" t="s">
        <v>350</v>
      </c>
      <c r="B71" s="26" t="s">
        <v>395</v>
      </c>
      <c r="G71"/>
      <c r="I71"/>
    </row>
    <row r="72" spans="1:26">
      <c r="B72" s="230">
        <v>300</v>
      </c>
      <c r="C72" s="327">
        <f t="shared" ref="C72:Z72" si="27">$B$69*C58*$B$72</f>
        <v>3708932.9156466625</v>
      </c>
      <c r="D72" s="327">
        <f t="shared" si="27"/>
        <v>3683297.170192943</v>
      </c>
      <c r="E72" s="34">
        <f t="shared" si="27"/>
        <v>3657661.424739223</v>
      </c>
      <c r="F72" s="34">
        <f t="shared" si="27"/>
        <v>3632025.6792855039</v>
      </c>
      <c r="G72" s="34">
        <f t="shared" si="27"/>
        <v>3606389.9338317844</v>
      </c>
      <c r="H72" s="34">
        <f t="shared" si="27"/>
        <v>3580754.1883780649</v>
      </c>
      <c r="I72" s="34">
        <f t="shared" si="27"/>
        <v>3555118.4429243449</v>
      </c>
      <c r="J72" s="34">
        <f t="shared" si="27"/>
        <v>3529482.6974706259</v>
      </c>
      <c r="K72" s="34">
        <f t="shared" si="27"/>
        <v>3581536.9486241629</v>
      </c>
      <c r="L72" s="34">
        <f t="shared" si="27"/>
        <v>3633591.1997777</v>
      </c>
      <c r="M72" s="34">
        <f t="shared" si="27"/>
        <v>3685645.4509312371</v>
      </c>
      <c r="N72" s="34">
        <f t="shared" si="27"/>
        <v>3737699.7020847746</v>
      </c>
      <c r="O72" s="34">
        <f t="shared" si="27"/>
        <v>3789753.9532383112</v>
      </c>
      <c r="P72" s="34">
        <f t="shared" si="27"/>
        <v>3841808.2043918483</v>
      </c>
      <c r="Q72" s="34">
        <f t="shared" si="27"/>
        <v>3893862.4555453863</v>
      </c>
      <c r="R72" s="34">
        <f t="shared" si="27"/>
        <v>3945916.7066989229</v>
      </c>
      <c r="S72" s="34">
        <f t="shared" si="27"/>
        <v>3997970.9578524609</v>
      </c>
      <c r="T72" s="34">
        <f t="shared" si="27"/>
        <v>4050025.2090059975</v>
      </c>
      <c r="U72" s="34">
        <f t="shared" si="27"/>
        <v>4109768.2325304905</v>
      </c>
      <c r="V72" s="34">
        <f t="shared" si="27"/>
        <v>4169511.2560549839</v>
      </c>
      <c r="W72" s="34">
        <f t="shared" si="27"/>
        <v>4229254.2795794765</v>
      </c>
      <c r="X72" s="34">
        <f t="shared" si="27"/>
        <v>4288997.3031039704</v>
      </c>
      <c r="Y72" s="34">
        <f t="shared" si="27"/>
        <v>4348740.3266284633</v>
      </c>
      <c r="Z72" s="34">
        <f t="shared" si="27"/>
        <v>4408483.3501529573</v>
      </c>
    </row>
    <row r="73" spans="1:26">
      <c r="A73" s="26" t="s">
        <v>396</v>
      </c>
      <c r="G73"/>
      <c r="I73"/>
    </row>
    <row r="74" spans="1:26">
      <c r="A74" s="229">
        <v>0.01</v>
      </c>
      <c r="B74" s="54" t="s">
        <v>409</v>
      </c>
      <c r="E74" s="189">
        <f t="shared" ref="E74" si="28">E72*$A$74</f>
        <v>36576.61424739223</v>
      </c>
      <c r="F74" s="189">
        <f t="shared" ref="F74:Z74" si="29">F72*$A$74</f>
        <v>36320.256792855042</v>
      </c>
      <c r="G74" s="189">
        <f t="shared" si="29"/>
        <v>36063.899338317846</v>
      </c>
      <c r="H74" s="189">
        <f t="shared" si="29"/>
        <v>35807.54188378065</v>
      </c>
      <c r="I74" s="189">
        <f t="shared" si="29"/>
        <v>35551.184429243447</v>
      </c>
      <c r="J74" s="189">
        <f t="shared" si="29"/>
        <v>35294.826974706259</v>
      </c>
      <c r="K74" s="189">
        <f t="shared" si="29"/>
        <v>35815.369486241631</v>
      </c>
      <c r="L74" s="189">
        <f t="shared" si="29"/>
        <v>36335.911997777002</v>
      </c>
      <c r="M74" s="189">
        <f t="shared" si="29"/>
        <v>36856.454509312374</v>
      </c>
      <c r="N74" s="189">
        <f t="shared" si="29"/>
        <v>37376.997020847746</v>
      </c>
      <c r="O74" s="189">
        <f t="shared" si="29"/>
        <v>37897.539532383111</v>
      </c>
      <c r="P74" s="189">
        <f t="shared" si="29"/>
        <v>38418.082043918483</v>
      </c>
      <c r="Q74" s="189">
        <f t="shared" si="29"/>
        <v>38938.624555453862</v>
      </c>
      <c r="R74" s="189">
        <f t="shared" si="29"/>
        <v>39459.167066989226</v>
      </c>
      <c r="S74" s="189">
        <f t="shared" si="29"/>
        <v>39979.709578524613</v>
      </c>
      <c r="T74" s="189">
        <f t="shared" si="29"/>
        <v>40500.252090059977</v>
      </c>
      <c r="U74" s="189">
        <f t="shared" si="29"/>
        <v>41097.682325304908</v>
      </c>
      <c r="V74" s="189">
        <f t="shared" si="29"/>
        <v>41695.112560549838</v>
      </c>
      <c r="W74" s="189">
        <f t="shared" si="29"/>
        <v>42292.542795794769</v>
      </c>
      <c r="X74" s="189">
        <f t="shared" si="29"/>
        <v>42889.973031039706</v>
      </c>
      <c r="Y74" s="189">
        <f t="shared" si="29"/>
        <v>43487.403266284637</v>
      </c>
      <c r="Z74" s="189">
        <f t="shared" si="29"/>
        <v>44084.833501529574</v>
      </c>
    </row>
    <row r="75" spans="1:26">
      <c r="A75" s="229">
        <v>0.01</v>
      </c>
      <c r="B75" s="78" t="s">
        <v>402</v>
      </c>
      <c r="E75" s="189">
        <f t="shared" ref="E75" si="30">E72*$A$75</f>
        <v>36576.61424739223</v>
      </c>
      <c r="F75" s="189">
        <f t="shared" ref="F75:Z75" si="31">F72*$A$75</f>
        <v>36320.256792855042</v>
      </c>
      <c r="G75" s="189">
        <f t="shared" si="31"/>
        <v>36063.899338317846</v>
      </c>
      <c r="H75" s="189">
        <f t="shared" si="31"/>
        <v>35807.54188378065</v>
      </c>
      <c r="I75" s="189">
        <f t="shared" si="31"/>
        <v>35551.184429243447</v>
      </c>
      <c r="J75" s="189">
        <f t="shared" si="31"/>
        <v>35294.826974706259</v>
      </c>
      <c r="K75" s="189">
        <f t="shared" si="31"/>
        <v>35815.369486241631</v>
      </c>
      <c r="L75" s="189">
        <f t="shared" si="31"/>
        <v>36335.911997777002</v>
      </c>
      <c r="M75" s="189">
        <f t="shared" si="31"/>
        <v>36856.454509312374</v>
      </c>
      <c r="N75" s="189">
        <f t="shared" si="31"/>
        <v>37376.997020847746</v>
      </c>
      <c r="O75" s="189">
        <f t="shared" si="31"/>
        <v>37897.539532383111</v>
      </c>
      <c r="P75" s="189">
        <f t="shared" si="31"/>
        <v>38418.082043918483</v>
      </c>
      <c r="Q75" s="189">
        <f t="shared" si="31"/>
        <v>38938.624555453862</v>
      </c>
      <c r="R75" s="189">
        <f t="shared" si="31"/>
        <v>39459.167066989226</v>
      </c>
      <c r="S75" s="189">
        <f t="shared" si="31"/>
        <v>39979.709578524613</v>
      </c>
      <c r="T75" s="189">
        <f t="shared" si="31"/>
        <v>40500.252090059977</v>
      </c>
      <c r="U75" s="189">
        <f t="shared" si="31"/>
        <v>41097.682325304908</v>
      </c>
      <c r="V75" s="189">
        <f t="shared" si="31"/>
        <v>41695.112560549838</v>
      </c>
      <c r="W75" s="189">
        <f t="shared" si="31"/>
        <v>42292.542795794769</v>
      </c>
      <c r="X75" s="189">
        <f t="shared" si="31"/>
        <v>42889.973031039706</v>
      </c>
      <c r="Y75" s="189">
        <f t="shared" si="31"/>
        <v>43487.403266284637</v>
      </c>
      <c r="Z75" s="189">
        <f t="shared" si="31"/>
        <v>44084.833501529574</v>
      </c>
    </row>
    <row r="76" spans="1:26">
      <c r="A76" s="70"/>
      <c r="B76" s="26"/>
      <c r="G76"/>
      <c r="I76"/>
    </row>
    <row r="77" spans="1:26">
      <c r="A77" s="5" t="s">
        <v>261</v>
      </c>
      <c r="G77"/>
      <c r="I77"/>
    </row>
    <row r="78" spans="1:26">
      <c r="A78" s="70" t="s">
        <v>350</v>
      </c>
      <c r="B78" s="26" t="s">
        <v>395</v>
      </c>
      <c r="C78" s="189"/>
      <c r="D78" s="189"/>
      <c r="E78" s="189"/>
      <c r="F78" s="189"/>
      <c r="G78" s="189"/>
      <c r="H78" s="189"/>
      <c r="I78" s="189"/>
      <c r="J78" s="189"/>
      <c r="K78" s="189"/>
      <c r="L78" s="189"/>
      <c r="M78" s="189"/>
      <c r="N78" s="189"/>
      <c r="O78" s="189"/>
      <c r="P78" s="189"/>
      <c r="Q78" s="189"/>
      <c r="R78" s="189"/>
      <c r="S78" s="189"/>
      <c r="T78" s="189"/>
      <c r="U78" s="189"/>
      <c r="V78" s="189"/>
      <c r="W78" s="189"/>
      <c r="X78" s="189"/>
      <c r="Y78" s="189"/>
      <c r="Z78" s="189"/>
    </row>
    <row r="79" spans="1:26">
      <c r="A79" s="70"/>
      <c r="B79" s="230">
        <v>300</v>
      </c>
      <c r="C79" s="327">
        <f>$B79*$B69*C59</f>
        <v>43307.217958496352</v>
      </c>
      <c r="D79" s="327">
        <f t="shared" ref="D79:E79" si="32">$B79*$B69*D59</f>
        <v>43007.883125232271</v>
      </c>
      <c r="E79" s="34">
        <f t="shared" si="32"/>
        <v>42708.548291968182</v>
      </c>
      <c r="F79" s="34">
        <f t="shared" ref="F79:Z79" si="33">$B79*$B69*F59</f>
        <v>42409.2134587041</v>
      </c>
      <c r="G79" s="34">
        <f t="shared" si="33"/>
        <v>42109.878625440018</v>
      </c>
      <c r="H79" s="34">
        <f t="shared" si="33"/>
        <v>41810.543792175937</v>
      </c>
      <c r="I79" s="34">
        <f t="shared" si="33"/>
        <v>41511.208958911848</v>
      </c>
      <c r="J79" s="34">
        <f t="shared" si="33"/>
        <v>41211.874125647766</v>
      </c>
      <c r="K79" s="34">
        <f t="shared" si="33"/>
        <v>41819.683663227261</v>
      </c>
      <c r="L79" s="34">
        <f t="shared" si="33"/>
        <v>42427.493200806741</v>
      </c>
      <c r="M79" s="34">
        <f t="shared" si="33"/>
        <v>43035.302738386235</v>
      </c>
      <c r="N79" s="34">
        <f t="shared" si="33"/>
        <v>43643.11227596573</v>
      </c>
      <c r="O79" s="34">
        <f t="shared" si="33"/>
        <v>44250.92181354521</v>
      </c>
      <c r="P79" s="34">
        <f t="shared" si="33"/>
        <v>44858.731351124698</v>
      </c>
      <c r="Q79" s="34">
        <f t="shared" si="33"/>
        <v>45466.540888704185</v>
      </c>
      <c r="R79" s="34">
        <f t="shared" si="33"/>
        <v>46074.350426283687</v>
      </c>
      <c r="S79" s="34">
        <f t="shared" si="33"/>
        <v>46682.159963863174</v>
      </c>
      <c r="T79" s="34">
        <f t="shared" si="33"/>
        <v>47289.969501442669</v>
      </c>
      <c r="U79" s="34">
        <f t="shared" si="33"/>
        <v>47987.556705125928</v>
      </c>
      <c r="V79" s="34">
        <f t="shared" si="33"/>
        <v>48685.143908809208</v>
      </c>
      <c r="W79" s="34">
        <f t="shared" si="33"/>
        <v>49382.731112492474</v>
      </c>
      <c r="X79" s="34">
        <f t="shared" si="33"/>
        <v>50080.318316175755</v>
      </c>
      <c r="Y79" s="34">
        <f t="shared" si="33"/>
        <v>50777.905519859021</v>
      </c>
      <c r="Z79" s="34">
        <f t="shared" si="33"/>
        <v>51475.492723542295</v>
      </c>
    </row>
    <row r="80" spans="1:26">
      <c r="A80" s="70"/>
      <c r="B80" s="230"/>
      <c r="C80" s="327"/>
      <c r="D80" s="327"/>
      <c r="E80" s="327"/>
      <c r="F80" s="327"/>
      <c r="G80" s="327"/>
      <c r="H80" s="327"/>
      <c r="I80" s="327"/>
      <c r="J80" s="327"/>
      <c r="K80" s="327"/>
      <c r="L80" s="327"/>
      <c r="M80" s="327"/>
      <c r="N80" s="327"/>
      <c r="O80" s="327"/>
      <c r="P80" s="327"/>
      <c r="Q80" s="327"/>
      <c r="R80" s="327"/>
      <c r="S80" s="327"/>
      <c r="T80" s="327"/>
      <c r="U80" s="327"/>
      <c r="V80" s="327"/>
      <c r="W80" s="327"/>
      <c r="X80" s="327"/>
      <c r="Y80" s="327"/>
      <c r="Z80" s="327"/>
    </row>
    <row r="81" spans="1:26">
      <c r="A81" s="229">
        <v>0.04</v>
      </c>
      <c r="B81" s="54" t="s">
        <v>417</v>
      </c>
      <c r="E81" s="189">
        <f>E79*$A$81</f>
        <v>1708.3419316787274</v>
      </c>
      <c r="F81" s="189">
        <f t="shared" ref="F81:Z81" si="34">F79*$A$81</f>
        <v>1696.3685383481641</v>
      </c>
      <c r="G81" s="189">
        <f t="shared" si="34"/>
        <v>1684.3951450176007</v>
      </c>
      <c r="H81" s="189">
        <f t="shared" si="34"/>
        <v>1672.4217516870376</v>
      </c>
      <c r="I81" s="189">
        <f t="shared" si="34"/>
        <v>1660.448358356474</v>
      </c>
      <c r="J81" s="189">
        <f t="shared" si="34"/>
        <v>1648.4749650259107</v>
      </c>
      <c r="K81" s="189">
        <f t="shared" si="34"/>
        <v>1672.7873465290904</v>
      </c>
      <c r="L81" s="189">
        <f t="shared" si="34"/>
        <v>1697.0997280322697</v>
      </c>
      <c r="M81" s="189">
        <f t="shared" si="34"/>
        <v>1721.4121095354494</v>
      </c>
      <c r="N81" s="189">
        <f t="shared" si="34"/>
        <v>1745.7244910386291</v>
      </c>
      <c r="O81" s="189">
        <f t="shared" si="34"/>
        <v>1770.0368725418084</v>
      </c>
      <c r="P81" s="189">
        <f t="shared" si="34"/>
        <v>1794.3492540449879</v>
      </c>
      <c r="Q81" s="189">
        <f t="shared" si="34"/>
        <v>1818.6616355481674</v>
      </c>
      <c r="R81" s="189">
        <f t="shared" si="34"/>
        <v>1842.9740170513476</v>
      </c>
      <c r="S81" s="189">
        <f t="shared" si="34"/>
        <v>1867.2863985545271</v>
      </c>
      <c r="T81" s="189">
        <f t="shared" si="34"/>
        <v>1891.5987800577068</v>
      </c>
      <c r="U81" s="189">
        <f t="shared" si="34"/>
        <v>1919.5022682050371</v>
      </c>
      <c r="V81" s="189">
        <f t="shared" si="34"/>
        <v>1947.4057563523684</v>
      </c>
      <c r="W81" s="189">
        <f t="shared" si="34"/>
        <v>1975.3092444996989</v>
      </c>
      <c r="X81" s="189">
        <f t="shared" si="34"/>
        <v>2003.2127326470302</v>
      </c>
      <c r="Y81" s="189">
        <f t="shared" si="34"/>
        <v>2031.116220794361</v>
      </c>
      <c r="Z81" s="189">
        <f t="shared" si="34"/>
        <v>2059.019708941692</v>
      </c>
    </row>
    <row r="82" spans="1:26">
      <c r="A82" s="229">
        <v>0.04</v>
      </c>
      <c r="B82" s="78" t="s">
        <v>411</v>
      </c>
      <c r="E82" s="189">
        <f>E79*$A$82</f>
        <v>1708.3419316787274</v>
      </c>
      <c r="F82" s="189">
        <f t="shared" ref="F82:Z82" si="35">F79*$A$82</f>
        <v>1696.3685383481641</v>
      </c>
      <c r="G82" s="189">
        <f t="shared" si="35"/>
        <v>1684.3951450176007</v>
      </c>
      <c r="H82" s="189">
        <f t="shared" si="35"/>
        <v>1672.4217516870376</v>
      </c>
      <c r="I82" s="189">
        <f t="shared" si="35"/>
        <v>1660.448358356474</v>
      </c>
      <c r="J82" s="189">
        <f t="shared" si="35"/>
        <v>1648.4749650259107</v>
      </c>
      <c r="K82" s="189">
        <f t="shared" si="35"/>
        <v>1672.7873465290904</v>
      </c>
      <c r="L82" s="189">
        <f t="shared" si="35"/>
        <v>1697.0997280322697</v>
      </c>
      <c r="M82" s="189">
        <f t="shared" si="35"/>
        <v>1721.4121095354494</v>
      </c>
      <c r="N82" s="189">
        <f t="shared" si="35"/>
        <v>1745.7244910386291</v>
      </c>
      <c r="O82" s="189">
        <f t="shared" si="35"/>
        <v>1770.0368725418084</v>
      </c>
      <c r="P82" s="189">
        <f t="shared" si="35"/>
        <v>1794.3492540449879</v>
      </c>
      <c r="Q82" s="189">
        <f t="shared" si="35"/>
        <v>1818.6616355481674</v>
      </c>
      <c r="R82" s="189">
        <f t="shared" si="35"/>
        <v>1842.9740170513476</v>
      </c>
      <c r="S82" s="189">
        <f t="shared" si="35"/>
        <v>1867.2863985545271</v>
      </c>
      <c r="T82" s="189">
        <f t="shared" si="35"/>
        <v>1891.5987800577068</v>
      </c>
      <c r="U82" s="189">
        <f t="shared" si="35"/>
        <v>1919.5022682050371</v>
      </c>
      <c r="V82" s="189">
        <f t="shared" si="35"/>
        <v>1947.4057563523684</v>
      </c>
      <c r="W82" s="189">
        <f t="shared" si="35"/>
        <v>1975.3092444996989</v>
      </c>
      <c r="X82" s="189">
        <f t="shared" si="35"/>
        <v>2003.2127326470302</v>
      </c>
      <c r="Y82" s="189">
        <f t="shared" si="35"/>
        <v>2031.116220794361</v>
      </c>
      <c r="Z82" s="189">
        <f t="shared" si="35"/>
        <v>2059.019708941692</v>
      </c>
    </row>
    <row r="83" spans="1:26">
      <c r="A83" s="70"/>
      <c r="B83" s="26"/>
      <c r="G83"/>
      <c r="I83"/>
    </row>
    <row r="84" spans="1:26">
      <c r="A84" s="5" t="s">
        <v>397</v>
      </c>
      <c r="B84" s="70" t="s">
        <v>440</v>
      </c>
      <c r="C84">
        <v>100</v>
      </c>
      <c r="G84"/>
      <c r="I84"/>
    </row>
    <row r="85" spans="1:26">
      <c r="A85" s="70"/>
      <c r="B85" s="26" t="s">
        <v>442</v>
      </c>
      <c r="C85">
        <v>5</v>
      </c>
      <c r="D85" s="124">
        <f>C85</f>
        <v>5</v>
      </c>
      <c r="E85" s="124">
        <f t="shared" ref="E85:W85" si="36">D85*1.01</f>
        <v>5.05</v>
      </c>
      <c r="F85" s="124">
        <f t="shared" si="36"/>
        <v>5.1005000000000003</v>
      </c>
      <c r="G85" s="124">
        <f t="shared" si="36"/>
        <v>5.1515050000000002</v>
      </c>
      <c r="H85" s="124">
        <f t="shared" si="36"/>
        <v>5.2030200500000001</v>
      </c>
      <c r="I85" s="124">
        <f t="shared" si="36"/>
        <v>5.2550502505000001</v>
      </c>
      <c r="J85" s="124">
        <f t="shared" si="36"/>
        <v>5.3076007530050004</v>
      </c>
      <c r="K85" s="124">
        <f t="shared" si="36"/>
        <v>5.3606767605350507</v>
      </c>
      <c r="L85" s="124">
        <f t="shared" si="36"/>
        <v>5.4142835281404009</v>
      </c>
      <c r="M85" s="124">
        <f t="shared" si="36"/>
        <v>5.4684263634218047</v>
      </c>
      <c r="N85" s="124">
        <f t="shared" si="36"/>
        <v>5.5231106270560231</v>
      </c>
      <c r="O85" s="124">
        <f t="shared" si="36"/>
        <v>5.5783417333265835</v>
      </c>
      <c r="P85" s="124">
        <f t="shared" si="36"/>
        <v>5.6341251506598491</v>
      </c>
      <c r="Q85" s="124">
        <f t="shared" si="36"/>
        <v>5.6904664021664475</v>
      </c>
      <c r="R85" s="124">
        <f t="shared" si="36"/>
        <v>5.7473710661881121</v>
      </c>
      <c r="S85" s="124">
        <f t="shared" si="36"/>
        <v>5.8048447768499933</v>
      </c>
      <c r="T85" s="124">
        <f t="shared" si="36"/>
        <v>5.8628932246184933</v>
      </c>
      <c r="U85" s="124">
        <f t="shared" si="36"/>
        <v>5.9215221568646781</v>
      </c>
      <c r="V85" s="124">
        <f t="shared" si="36"/>
        <v>5.9807373784333251</v>
      </c>
      <c r="W85" s="124">
        <f t="shared" si="36"/>
        <v>6.0405447522176585</v>
      </c>
      <c r="X85" s="124">
        <f t="shared" ref="X85" si="37">W85*1.01</f>
        <v>6.1009501997398354</v>
      </c>
      <c r="Y85" s="124">
        <f t="shared" ref="Y85" si="38">X85*1.01</f>
        <v>6.1619597017372341</v>
      </c>
      <c r="Z85" s="124">
        <f t="shared" ref="Z85" si="39">Y85*1.01</f>
        <v>6.2235792987546068</v>
      </c>
    </row>
    <row r="86" spans="1:26">
      <c r="A86" s="70"/>
      <c r="B86" s="26" t="s">
        <v>441</v>
      </c>
      <c r="C86">
        <v>365</v>
      </c>
      <c r="D86">
        <f>D85*$C$86*$C$84</f>
        <v>182500</v>
      </c>
      <c r="E86">
        <f t="shared" ref="E86:W86" si="40">E85*$C$86*$C$84</f>
        <v>184325</v>
      </c>
      <c r="F86">
        <f t="shared" si="40"/>
        <v>186168.25</v>
      </c>
      <c r="G86">
        <f t="shared" si="40"/>
        <v>188029.93250000002</v>
      </c>
      <c r="H86">
        <f t="shared" si="40"/>
        <v>189910.231825</v>
      </c>
      <c r="I86">
        <f t="shared" si="40"/>
        <v>191809.33414324999</v>
      </c>
      <c r="J86">
        <f t="shared" si="40"/>
        <v>193727.42748468253</v>
      </c>
      <c r="K86">
        <f t="shared" si="40"/>
        <v>195664.70175952936</v>
      </c>
      <c r="L86">
        <f t="shared" si="40"/>
        <v>197621.34877712463</v>
      </c>
      <c r="M86">
        <f t="shared" si="40"/>
        <v>199597.56226489588</v>
      </c>
      <c r="N86">
        <f t="shared" si="40"/>
        <v>201593.53788754484</v>
      </c>
      <c r="O86">
        <f t="shared" si="40"/>
        <v>203609.47326642027</v>
      </c>
      <c r="P86">
        <f t="shared" si="40"/>
        <v>205645.56799908451</v>
      </c>
      <c r="Q86">
        <f t="shared" si="40"/>
        <v>207702.02367907533</v>
      </c>
      <c r="R86">
        <f t="shared" si="40"/>
        <v>209779.04391586609</v>
      </c>
      <c r="S86">
        <f t="shared" si="40"/>
        <v>211876.83435502477</v>
      </c>
      <c r="T86">
        <f t="shared" si="40"/>
        <v>213995.60269857501</v>
      </c>
      <c r="U86">
        <f t="shared" si="40"/>
        <v>216135.55872556075</v>
      </c>
      <c r="V86">
        <f t="shared" si="40"/>
        <v>218296.91431281634</v>
      </c>
      <c r="W86">
        <f t="shared" si="40"/>
        <v>220479.88345594454</v>
      </c>
      <c r="X86">
        <f t="shared" ref="X86" si="41">X85*$C$86*$C$84</f>
        <v>222684.68229050399</v>
      </c>
      <c r="Y86">
        <f t="shared" ref="Y86" si="42">Y85*$C$86*$C$84</f>
        <v>224911.52911340905</v>
      </c>
      <c r="Z86">
        <f t="shared" ref="Z86" si="43">Z85*$C$86*$C$84</f>
        <v>227160.64440454316</v>
      </c>
    </row>
    <row r="87" spans="1:26">
      <c r="A87" s="70"/>
      <c r="B87" s="26"/>
      <c r="G87"/>
      <c r="I87"/>
    </row>
    <row r="88" spans="1:26">
      <c r="A88" s="70" t="s">
        <v>560</v>
      </c>
      <c r="B88" s="47" t="s">
        <v>95</v>
      </c>
      <c r="C88" s="89">
        <v>0.1</v>
      </c>
      <c r="D88">
        <f>D$86*$C88</f>
        <v>18250</v>
      </c>
      <c r="E88">
        <f t="shared" ref="E88:T94" si="44">E$86*$C88</f>
        <v>18432.5</v>
      </c>
      <c r="F88">
        <f t="shared" si="44"/>
        <v>18616.825000000001</v>
      </c>
      <c r="G88">
        <f t="shared" si="44"/>
        <v>18802.993250000003</v>
      </c>
      <c r="H88">
        <f t="shared" si="44"/>
        <v>18991.023182500001</v>
      </c>
      <c r="I88">
        <f t="shared" si="44"/>
        <v>19180.933414324998</v>
      </c>
      <c r="J88">
        <f t="shared" si="44"/>
        <v>19372.742748468252</v>
      </c>
      <c r="K88">
        <f t="shared" si="44"/>
        <v>19566.470175952938</v>
      </c>
      <c r="L88">
        <f t="shared" si="44"/>
        <v>19762.134877712466</v>
      </c>
      <c r="M88">
        <f t="shared" si="44"/>
        <v>19959.75622648959</v>
      </c>
      <c r="N88">
        <f t="shared" si="44"/>
        <v>20159.353788754484</v>
      </c>
      <c r="O88">
        <f t="shared" si="44"/>
        <v>20360.947326642028</v>
      </c>
      <c r="P88">
        <f t="shared" si="44"/>
        <v>20564.556799908452</v>
      </c>
      <c r="Q88">
        <f t="shared" si="44"/>
        <v>20770.202367907536</v>
      </c>
      <c r="R88">
        <f t="shared" si="44"/>
        <v>20977.90439158661</v>
      </c>
      <c r="S88">
        <f t="shared" si="44"/>
        <v>21187.683435502477</v>
      </c>
      <c r="T88">
        <f t="shared" si="44"/>
        <v>21399.560269857502</v>
      </c>
      <c r="U88">
        <f t="shared" ref="U88:Z94" si="45">U$86*$C88</f>
        <v>21613.555872556077</v>
      </c>
      <c r="V88">
        <f t="shared" si="45"/>
        <v>21829.691431281637</v>
      </c>
      <c r="W88">
        <f t="shared" si="45"/>
        <v>22047.988345594455</v>
      </c>
      <c r="X88">
        <f t="shared" si="45"/>
        <v>22268.468229050399</v>
      </c>
      <c r="Y88">
        <f t="shared" si="45"/>
        <v>22491.152911340905</v>
      </c>
      <c r="Z88">
        <f t="shared" si="45"/>
        <v>22716.064440454316</v>
      </c>
    </row>
    <row r="89" spans="1:26">
      <c r="A89" s="70"/>
      <c r="B89" s="78" t="s">
        <v>493</v>
      </c>
      <c r="C89" s="89">
        <v>0.15</v>
      </c>
      <c r="D89">
        <f t="shared" ref="D89:D94" si="46">D$86*$C89</f>
        <v>27375</v>
      </c>
      <c r="E89">
        <f t="shared" si="44"/>
        <v>27648.75</v>
      </c>
      <c r="F89">
        <f t="shared" si="44"/>
        <v>27925.237499999999</v>
      </c>
      <c r="G89">
        <f t="shared" si="44"/>
        <v>28204.489875000003</v>
      </c>
      <c r="H89">
        <f t="shared" si="44"/>
        <v>28486.534773749998</v>
      </c>
      <c r="I89">
        <f t="shared" si="44"/>
        <v>28771.400121487499</v>
      </c>
      <c r="J89">
        <f t="shared" si="44"/>
        <v>29059.11412270238</v>
      </c>
      <c r="K89">
        <f t="shared" si="44"/>
        <v>29349.705263929402</v>
      </c>
      <c r="L89">
        <f t="shared" si="44"/>
        <v>29643.202316568691</v>
      </c>
      <c r="M89">
        <f t="shared" si="44"/>
        <v>29939.634339734381</v>
      </c>
      <c r="N89">
        <f t="shared" si="44"/>
        <v>30239.030683131725</v>
      </c>
      <c r="O89">
        <f t="shared" si="44"/>
        <v>30541.42098996304</v>
      </c>
      <c r="P89">
        <f t="shared" si="44"/>
        <v>30846.835199862675</v>
      </c>
      <c r="Q89">
        <f t="shared" si="44"/>
        <v>31155.303551861296</v>
      </c>
      <c r="R89">
        <f t="shared" si="44"/>
        <v>31466.856587379913</v>
      </c>
      <c r="S89">
        <f t="shared" si="44"/>
        <v>31781.525153253715</v>
      </c>
      <c r="T89">
        <f t="shared" si="44"/>
        <v>32099.34040478625</v>
      </c>
      <c r="U89">
        <f t="shared" si="45"/>
        <v>32420.333808834112</v>
      </c>
      <c r="V89">
        <f t="shared" si="45"/>
        <v>32744.537146922448</v>
      </c>
      <c r="W89">
        <f t="shared" si="45"/>
        <v>33071.982518391676</v>
      </c>
      <c r="X89">
        <f t="shared" si="45"/>
        <v>33402.702343575598</v>
      </c>
      <c r="Y89">
        <f t="shared" si="45"/>
        <v>33736.729367011358</v>
      </c>
      <c r="Z89">
        <f t="shared" si="45"/>
        <v>34074.096660681469</v>
      </c>
    </row>
    <row r="90" spans="1:26">
      <c r="A90" s="70"/>
      <c r="B90" s="47" t="s">
        <v>148</v>
      </c>
      <c r="C90" s="89">
        <v>0.15</v>
      </c>
      <c r="D90">
        <f t="shared" si="46"/>
        <v>27375</v>
      </c>
      <c r="E90">
        <f t="shared" si="44"/>
        <v>27648.75</v>
      </c>
      <c r="F90">
        <f t="shared" si="44"/>
        <v>27925.237499999999</v>
      </c>
      <c r="G90">
        <f t="shared" si="44"/>
        <v>28204.489875000003</v>
      </c>
      <c r="H90">
        <f t="shared" si="44"/>
        <v>28486.534773749998</v>
      </c>
      <c r="I90">
        <f t="shared" si="44"/>
        <v>28771.400121487499</v>
      </c>
      <c r="J90">
        <f t="shared" si="44"/>
        <v>29059.11412270238</v>
      </c>
      <c r="K90">
        <f t="shared" si="44"/>
        <v>29349.705263929402</v>
      </c>
      <c r="L90">
        <f t="shared" si="44"/>
        <v>29643.202316568691</v>
      </c>
      <c r="M90">
        <f t="shared" si="44"/>
        <v>29939.634339734381</v>
      </c>
      <c r="N90">
        <f t="shared" si="44"/>
        <v>30239.030683131725</v>
      </c>
      <c r="O90">
        <f t="shared" si="44"/>
        <v>30541.42098996304</v>
      </c>
      <c r="P90">
        <f t="shared" si="44"/>
        <v>30846.835199862675</v>
      </c>
      <c r="Q90">
        <f t="shared" si="44"/>
        <v>31155.303551861296</v>
      </c>
      <c r="R90">
        <f t="shared" si="44"/>
        <v>31466.856587379913</v>
      </c>
      <c r="S90">
        <f t="shared" si="44"/>
        <v>31781.525153253715</v>
      </c>
      <c r="T90">
        <f t="shared" si="44"/>
        <v>32099.34040478625</v>
      </c>
      <c r="U90">
        <f t="shared" si="45"/>
        <v>32420.333808834112</v>
      </c>
      <c r="V90">
        <f t="shared" si="45"/>
        <v>32744.537146922448</v>
      </c>
      <c r="W90">
        <f t="shared" si="45"/>
        <v>33071.982518391676</v>
      </c>
      <c r="X90">
        <f t="shared" si="45"/>
        <v>33402.702343575598</v>
      </c>
      <c r="Y90">
        <f t="shared" si="45"/>
        <v>33736.729367011358</v>
      </c>
      <c r="Z90">
        <f t="shared" si="45"/>
        <v>34074.096660681469</v>
      </c>
    </row>
    <row r="91" spans="1:26">
      <c r="A91" s="70"/>
      <c r="B91" s="78" t="s">
        <v>421</v>
      </c>
      <c r="C91" s="89">
        <v>0.1</v>
      </c>
      <c r="D91">
        <f t="shared" si="46"/>
        <v>18250</v>
      </c>
      <c r="E91">
        <f t="shared" si="44"/>
        <v>18432.5</v>
      </c>
      <c r="F91">
        <f t="shared" si="44"/>
        <v>18616.825000000001</v>
      </c>
      <c r="G91">
        <f t="shared" si="44"/>
        <v>18802.993250000003</v>
      </c>
      <c r="H91">
        <f t="shared" si="44"/>
        <v>18991.023182500001</v>
      </c>
      <c r="I91">
        <f t="shared" si="44"/>
        <v>19180.933414324998</v>
      </c>
      <c r="J91">
        <f t="shared" si="44"/>
        <v>19372.742748468252</v>
      </c>
      <c r="K91">
        <f t="shared" si="44"/>
        <v>19566.470175952938</v>
      </c>
      <c r="L91">
        <f t="shared" si="44"/>
        <v>19762.134877712466</v>
      </c>
      <c r="M91">
        <f t="shared" si="44"/>
        <v>19959.75622648959</v>
      </c>
      <c r="N91">
        <f t="shared" si="44"/>
        <v>20159.353788754484</v>
      </c>
      <c r="O91">
        <f t="shared" si="44"/>
        <v>20360.947326642028</v>
      </c>
      <c r="P91">
        <f t="shared" si="44"/>
        <v>20564.556799908452</v>
      </c>
      <c r="Q91">
        <f t="shared" si="44"/>
        <v>20770.202367907536</v>
      </c>
      <c r="R91">
        <f t="shared" si="44"/>
        <v>20977.90439158661</v>
      </c>
      <c r="S91">
        <f t="shared" si="44"/>
        <v>21187.683435502477</v>
      </c>
      <c r="T91">
        <f t="shared" si="44"/>
        <v>21399.560269857502</v>
      </c>
      <c r="U91">
        <f t="shared" si="45"/>
        <v>21613.555872556077</v>
      </c>
      <c r="V91">
        <f t="shared" si="45"/>
        <v>21829.691431281637</v>
      </c>
      <c r="W91">
        <f t="shared" si="45"/>
        <v>22047.988345594455</v>
      </c>
      <c r="X91">
        <f t="shared" si="45"/>
        <v>22268.468229050399</v>
      </c>
      <c r="Y91">
        <f t="shared" si="45"/>
        <v>22491.152911340905</v>
      </c>
      <c r="Z91">
        <f t="shared" si="45"/>
        <v>22716.064440454316</v>
      </c>
    </row>
    <row r="92" spans="1:26">
      <c r="A92" s="70"/>
      <c r="B92" s="47" t="s">
        <v>152</v>
      </c>
      <c r="C92" s="89">
        <v>0.1</v>
      </c>
      <c r="D92">
        <f t="shared" si="46"/>
        <v>18250</v>
      </c>
      <c r="E92">
        <f t="shared" si="44"/>
        <v>18432.5</v>
      </c>
      <c r="F92">
        <f t="shared" si="44"/>
        <v>18616.825000000001</v>
      </c>
      <c r="G92">
        <f t="shared" si="44"/>
        <v>18802.993250000003</v>
      </c>
      <c r="H92">
        <f t="shared" si="44"/>
        <v>18991.023182500001</v>
      </c>
      <c r="I92">
        <f t="shared" si="44"/>
        <v>19180.933414324998</v>
      </c>
      <c r="J92">
        <f t="shared" si="44"/>
        <v>19372.742748468252</v>
      </c>
      <c r="K92">
        <f t="shared" si="44"/>
        <v>19566.470175952938</v>
      </c>
      <c r="L92">
        <f t="shared" si="44"/>
        <v>19762.134877712466</v>
      </c>
      <c r="M92">
        <f t="shared" si="44"/>
        <v>19959.75622648959</v>
      </c>
      <c r="N92">
        <f t="shared" si="44"/>
        <v>20159.353788754484</v>
      </c>
      <c r="O92">
        <f t="shared" si="44"/>
        <v>20360.947326642028</v>
      </c>
      <c r="P92">
        <f t="shared" si="44"/>
        <v>20564.556799908452</v>
      </c>
      <c r="Q92">
        <f t="shared" si="44"/>
        <v>20770.202367907536</v>
      </c>
      <c r="R92">
        <f t="shared" si="44"/>
        <v>20977.90439158661</v>
      </c>
      <c r="S92">
        <f t="shared" si="44"/>
        <v>21187.683435502477</v>
      </c>
      <c r="T92">
        <f t="shared" si="44"/>
        <v>21399.560269857502</v>
      </c>
      <c r="U92">
        <f t="shared" si="45"/>
        <v>21613.555872556077</v>
      </c>
      <c r="V92">
        <f t="shared" si="45"/>
        <v>21829.691431281637</v>
      </c>
      <c r="W92">
        <f t="shared" si="45"/>
        <v>22047.988345594455</v>
      </c>
      <c r="X92">
        <f t="shared" si="45"/>
        <v>22268.468229050399</v>
      </c>
      <c r="Y92">
        <f t="shared" si="45"/>
        <v>22491.152911340905</v>
      </c>
      <c r="Z92">
        <f t="shared" si="45"/>
        <v>22716.064440454316</v>
      </c>
    </row>
    <row r="93" spans="1:26">
      <c r="A93" s="70" t="s">
        <v>559</v>
      </c>
      <c r="B93" s="78" t="s">
        <v>426</v>
      </c>
      <c r="C93" s="89">
        <v>0.2</v>
      </c>
      <c r="D93">
        <f t="shared" si="46"/>
        <v>36500</v>
      </c>
      <c r="E93">
        <f t="shared" si="44"/>
        <v>36865</v>
      </c>
      <c r="F93">
        <f t="shared" si="44"/>
        <v>37233.65</v>
      </c>
      <c r="G93">
        <f t="shared" si="44"/>
        <v>37605.986500000006</v>
      </c>
      <c r="H93">
        <f t="shared" si="44"/>
        <v>37982.046365000002</v>
      </c>
      <c r="I93">
        <f t="shared" si="44"/>
        <v>38361.866828649996</v>
      </c>
      <c r="J93">
        <f t="shared" si="44"/>
        <v>38745.485496936504</v>
      </c>
      <c r="K93">
        <f t="shared" si="44"/>
        <v>39132.940351905876</v>
      </c>
      <c r="L93">
        <f t="shared" si="44"/>
        <v>39524.269755424932</v>
      </c>
      <c r="M93">
        <f t="shared" si="44"/>
        <v>39919.512452979179</v>
      </c>
      <c r="N93">
        <f t="shared" si="44"/>
        <v>40318.707577508969</v>
      </c>
      <c r="O93">
        <f t="shared" si="44"/>
        <v>40721.894653284056</v>
      </c>
      <c r="P93">
        <f t="shared" si="44"/>
        <v>41129.113599816905</v>
      </c>
      <c r="Q93">
        <f t="shared" si="44"/>
        <v>41540.404735815071</v>
      </c>
      <c r="R93">
        <f t="shared" si="44"/>
        <v>41955.808783173219</v>
      </c>
      <c r="S93">
        <f t="shared" si="44"/>
        <v>42375.366871004953</v>
      </c>
      <c r="T93">
        <f t="shared" si="44"/>
        <v>42799.120539715004</v>
      </c>
      <c r="U93">
        <f t="shared" si="45"/>
        <v>43227.111745112154</v>
      </c>
      <c r="V93">
        <f t="shared" si="45"/>
        <v>43659.382862563274</v>
      </c>
      <c r="W93">
        <f t="shared" si="45"/>
        <v>44095.976691188909</v>
      </c>
      <c r="X93">
        <f t="shared" si="45"/>
        <v>44536.936458100798</v>
      </c>
      <c r="Y93">
        <f t="shared" si="45"/>
        <v>44982.30582268181</v>
      </c>
      <c r="Z93">
        <f t="shared" si="45"/>
        <v>45432.128880908633</v>
      </c>
    </row>
    <row r="94" spans="1:26">
      <c r="A94" s="70"/>
      <c r="B94" s="78" t="s">
        <v>458</v>
      </c>
      <c r="C94" s="89">
        <v>0.2</v>
      </c>
      <c r="D94">
        <f t="shared" si="46"/>
        <v>36500</v>
      </c>
      <c r="E94">
        <f t="shared" si="44"/>
        <v>36865</v>
      </c>
      <c r="F94">
        <f t="shared" si="44"/>
        <v>37233.65</v>
      </c>
      <c r="G94">
        <f t="shared" si="44"/>
        <v>37605.986500000006</v>
      </c>
      <c r="H94">
        <f t="shared" si="44"/>
        <v>37982.046365000002</v>
      </c>
      <c r="I94">
        <f t="shared" si="44"/>
        <v>38361.866828649996</v>
      </c>
      <c r="J94">
        <f t="shared" si="44"/>
        <v>38745.485496936504</v>
      </c>
      <c r="K94">
        <f t="shared" si="44"/>
        <v>39132.940351905876</v>
      </c>
      <c r="L94">
        <f t="shared" si="44"/>
        <v>39524.269755424932</v>
      </c>
      <c r="M94">
        <f t="shared" si="44"/>
        <v>39919.512452979179</v>
      </c>
      <c r="N94">
        <f t="shared" si="44"/>
        <v>40318.707577508969</v>
      </c>
      <c r="O94">
        <f t="shared" si="44"/>
        <v>40721.894653284056</v>
      </c>
      <c r="P94">
        <f t="shared" si="44"/>
        <v>41129.113599816905</v>
      </c>
      <c r="Q94">
        <f t="shared" si="44"/>
        <v>41540.404735815071</v>
      </c>
      <c r="R94">
        <f t="shared" si="44"/>
        <v>41955.808783173219</v>
      </c>
      <c r="S94">
        <f t="shared" si="44"/>
        <v>42375.366871004953</v>
      </c>
      <c r="T94">
        <f t="shared" si="44"/>
        <v>42799.120539715004</v>
      </c>
      <c r="U94">
        <f t="shared" si="45"/>
        <v>43227.111745112154</v>
      </c>
      <c r="V94">
        <f t="shared" si="45"/>
        <v>43659.382862563274</v>
      </c>
      <c r="W94">
        <f t="shared" si="45"/>
        <v>44095.976691188909</v>
      </c>
      <c r="X94">
        <f t="shared" si="45"/>
        <v>44536.936458100798</v>
      </c>
      <c r="Y94">
        <f t="shared" si="45"/>
        <v>44982.30582268181</v>
      </c>
      <c r="Z94">
        <f t="shared" si="45"/>
        <v>45432.128880908633</v>
      </c>
    </row>
    <row r="95" spans="1:26">
      <c r="A95" s="70"/>
      <c r="C95" s="254">
        <f>SUM(C88:C94)</f>
        <v>1</v>
      </c>
      <c r="G95"/>
      <c r="I95"/>
    </row>
    <row r="121" spans="1:10" ht="15.75">
      <c r="A121" s="555" t="s">
        <v>337</v>
      </c>
      <c r="B121" s="555"/>
      <c r="C121" s="555"/>
      <c r="D121" s="555"/>
      <c r="E121" s="555"/>
      <c r="F121" s="555"/>
    </row>
    <row r="122" spans="1:10" ht="15.75">
      <c r="A122" s="555" t="s">
        <v>338</v>
      </c>
      <c r="B122" s="555"/>
      <c r="C122" s="555"/>
      <c r="D122" s="555"/>
      <c r="E122" s="555"/>
      <c r="F122" s="555"/>
      <c r="G122" s="181" t="s">
        <v>339</v>
      </c>
      <c r="I122" s="181" t="s">
        <v>340</v>
      </c>
    </row>
    <row r="123" spans="1:10" ht="13.5" thickBot="1">
      <c r="G123" s="181" t="s">
        <v>342</v>
      </c>
      <c r="H123" s="181" t="s">
        <v>341</v>
      </c>
      <c r="J123" s="181" t="s">
        <v>341</v>
      </c>
    </row>
    <row r="124" spans="1:10" ht="16.5" thickTop="1" thickBot="1">
      <c r="A124" s="161" t="s">
        <v>316</v>
      </c>
      <c r="B124" s="162" t="s">
        <v>317</v>
      </c>
      <c r="C124" s="163" t="s">
        <v>318</v>
      </c>
      <c r="D124" s="164" t="s">
        <v>319</v>
      </c>
      <c r="E124" s="165" t="s">
        <v>320</v>
      </c>
      <c r="F124" s="166" t="s">
        <v>321</v>
      </c>
      <c r="H124" s="190">
        <v>7.9199999999999995E-4</v>
      </c>
      <c r="J124" s="191">
        <v>-4.9959999999999997E-2</v>
      </c>
    </row>
    <row r="125" spans="1:10" ht="15.75" thickTop="1">
      <c r="A125" s="173" t="s">
        <v>322</v>
      </c>
      <c r="B125" s="167" t="s">
        <v>323</v>
      </c>
      <c r="C125" s="168" t="s">
        <v>324</v>
      </c>
      <c r="D125" s="169">
        <v>26855</v>
      </c>
      <c r="E125" s="167">
        <v>27262</v>
      </c>
      <c r="F125" s="168">
        <v>16330</v>
      </c>
      <c r="G125" s="74">
        <f>E125-D125</f>
        <v>407</v>
      </c>
      <c r="H125" s="189">
        <f>D125*((1+H124)^19)</f>
        <v>27262.007533725468</v>
      </c>
      <c r="I125" s="74">
        <f>F125-E125</f>
        <v>-10932</v>
      </c>
      <c r="J125" s="189">
        <f>E125*((1+J124)^10)</f>
        <v>16329.640483630154</v>
      </c>
    </row>
    <row r="126" spans="1:10" ht="15">
      <c r="A126" s="182"/>
      <c r="B126" s="183"/>
      <c r="C126" s="184"/>
      <c r="D126" s="185"/>
      <c r="E126" s="183"/>
      <c r="F126" s="184"/>
      <c r="H126" s="190">
        <v>5.1219999999999998E-3</v>
      </c>
      <c r="J126" s="190">
        <v>-3.2870000000000003E-2</v>
      </c>
    </row>
    <row r="127" spans="1:10" ht="15.75" thickBot="1">
      <c r="A127" s="174"/>
      <c r="B127" s="170" t="s">
        <v>325</v>
      </c>
      <c r="C127" s="171" t="s">
        <v>326</v>
      </c>
      <c r="D127" s="172">
        <v>27156</v>
      </c>
      <c r="E127" s="170">
        <v>29924</v>
      </c>
      <c r="F127" s="171">
        <v>21422</v>
      </c>
      <c r="G127" s="74">
        <f>E127-D127</f>
        <v>2768</v>
      </c>
      <c r="H127" s="189">
        <f>D127*((1+H126)^19)</f>
        <v>29924.20344850505</v>
      </c>
      <c r="I127" s="74">
        <f>F127-E127</f>
        <v>-8502</v>
      </c>
      <c r="J127" s="189">
        <f>E127*((1+J126)^10)</f>
        <v>21422.403616434149</v>
      </c>
    </row>
    <row r="128" spans="1:10" s="76" customFormat="1" ht="15.75" thickTop="1">
      <c r="A128" s="186"/>
      <c r="B128" s="187"/>
      <c r="C128" s="187"/>
      <c r="D128" s="187"/>
      <c r="E128" s="187"/>
      <c r="F128" s="187"/>
      <c r="G128" s="188"/>
      <c r="I128" s="188"/>
    </row>
    <row r="129" spans="1:2">
      <c r="B129" s="180" t="s">
        <v>336</v>
      </c>
    </row>
    <row r="130" spans="1:2">
      <c r="B130" s="180"/>
    </row>
    <row r="131" spans="1:2">
      <c r="B131" s="179"/>
    </row>
    <row r="132" spans="1:2">
      <c r="A132" t="s">
        <v>332</v>
      </c>
      <c r="B132" s="179"/>
    </row>
    <row r="133" spans="1:2">
      <c r="A133" t="s">
        <v>333</v>
      </c>
    </row>
    <row r="134" spans="1:2">
      <c r="A134" t="s">
        <v>334</v>
      </c>
    </row>
    <row r="135" spans="1:2">
      <c r="A135" t="s">
        <v>335</v>
      </c>
    </row>
  </sheetData>
  <mergeCells count="5">
    <mergeCell ref="B41:E41"/>
    <mergeCell ref="F41:I41"/>
    <mergeCell ref="A121:F121"/>
    <mergeCell ref="A122:F122"/>
    <mergeCell ref="A41:A42"/>
  </mergeCells>
  <conditionalFormatting sqref="T51:V51 D51:F51 X51:Z51 L51:N51 P51:R51 H51:J51">
    <cfRule type="cellIs" dxfId="0" priority="1" stopIfTrue="1" operator="lessThanOrEqual">
      <formula>-0.005</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sheetPr>
    <pageSetUpPr fitToPage="1"/>
  </sheetPr>
  <dimension ref="A1:AD200"/>
  <sheetViews>
    <sheetView topLeftCell="A61" zoomScale="75" zoomScaleNormal="75" workbookViewId="0"/>
  </sheetViews>
  <sheetFormatPr defaultRowHeight="12.75"/>
  <cols>
    <col min="1" max="1" width="18.28515625" customWidth="1"/>
    <col min="2" max="2" width="23.140625" customWidth="1"/>
    <col min="3" max="3" width="52.140625" style="53" customWidth="1"/>
    <col min="4" max="4" width="11.28515625" customWidth="1"/>
    <col min="5" max="5" width="14" style="25" bestFit="1" customWidth="1"/>
    <col min="6" max="6" width="13.42578125" style="25" customWidth="1"/>
    <col min="7" max="7" width="17" style="76" bestFit="1" customWidth="1"/>
    <col min="8" max="8" width="16.85546875" bestFit="1" customWidth="1"/>
    <col min="9" max="29" width="13.85546875" customWidth="1"/>
    <col min="30" max="30" width="13" customWidth="1"/>
  </cols>
  <sheetData>
    <row r="1" spans="1:30" s="74" customFormat="1">
      <c r="A1" s="72"/>
      <c r="B1" s="72"/>
      <c r="C1" s="73"/>
      <c r="D1" s="204"/>
      <c r="E1" s="214"/>
      <c r="F1" s="75">
        <v>2013</v>
      </c>
      <c r="G1" s="75">
        <v>2014</v>
      </c>
      <c r="H1" s="75">
        <v>2015</v>
      </c>
      <c r="I1" s="75">
        <v>2016</v>
      </c>
      <c r="J1" s="75">
        <v>2017</v>
      </c>
      <c r="K1" s="75">
        <v>2018</v>
      </c>
      <c r="L1" s="75">
        <v>2019</v>
      </c>
      <c r="M1" s="75">
        <v>2020</v>
      </c>
      <c r="N1" s="75">
        <v>2021</v>
      </c>
      <c r="O1" s="75">
        <v>2022</v>
      </c>
      <c r="P1" s="75">
        <v>2023</v>
      </c>
      <c r="Q1" s="75">
        <v>2024</v>
      </c>
      <c r="R1" s="75">
        <v>2025</v>
      </c>
      <c r="S1" s="75">
        <v>2026</v>
      </c>
      <c r="T1" s="75">
        <v>2027</v>
      </c>
      <c r="U1" s="75">
        <v>2028</v>
      </c>
      <c r="V1" s="75">
        <v>2029</v>
      </c>
      <c r="W1" s="75">
        <v>2030</v>
      </c>
      <c r="X1" s="75">
        <v>2031</v>
      </c>
      <c r="Y1" s="75">
        <v>2032</v>
      </c>
      <c r="Z1" s="75">
        <v>2033</v>
      </c>
      <c r="AA1" s="75">
        <v>2034</v>
      </c>
      <c r="AB1" s="75">
        <v>2035</v>
      </c>
      <c r="AC1" s="75">
        <v>2036</v>
      </c>
    </row>
    <row r="2" spans="1:30" s="74" customFormat="1">
      <c r="A2" s="72"/>
      <c r="B2" s="72"/>
      <c r="C2" s="73"/>
      <c r="D2" s="205" t="s">
        <v>382</v>
      </c>
      <c r="E2" s="214" t="s">
        <v>155</v>
      </c>
      <c r="F2" s="75"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row>
    <row r="3" spans="1:30">
      <c r="A3" s="69"/>
      <c r="B3" s="69"/>
      <c r="D3" s="206"/>
      <c r="E3" s="215"/>
      <c r="AC3" s="261"/>
      <c r="AD3" s="353"/>
    </row>
    <row r="4" spans="1:30">
      <c r="A4" s="41"/>
      <c r="B4" s="41"/>
      <c r="C4" s="45"/>
      <c r="D4" s="207"/>
      <c r="E4" s="215"/>
      <c r="AC4" s="261"/>
      <c r="AD4" s="353"/>
    </row>
    <row r="5" spans="1:30">
      <c r="A5" s="44" t="s">
        <v>218</v>
      </c>
      <c r="B5" s="44"/>
      <c r="C5" s="55" t="s">
        <v>389</v>
      </c>
      <c r="D5" s="207"/>
      <c r="E5" s="215"/>
      <c r="F5" s="292"/>
      <c r="G5" s="292"/>
      <c r="H5" s="292">
        <v>-4500</v>
      </c>
      <c r="I5" s="292">
        <v>-4500</v>
      </c>
      <c r="J5" s="292">
        <v>-4500</v>
      </c>
      <c r="K5" s="292">
        <v>-4500</v>
      </c>
      <c r="L5" s="292">
        <v>-4500</v>
      </c>
      <c r="M5" s="292">
        <v>-4500</v>
      </c>
      <c r="N5" s="292">
        <v>-4500</v>
      </c>
      <c r="O5" s="292">
        <v>-4500</v>
      </c>
      <c r="P5" s="292">
        <v>-4500</v>
      </c>
      <c r="Q5" s="292">
        <v>-4500</v>
      </c>
      <c r="R5" s="292">
        <v>-4500</v>
      </c>
      <c r="S5" s="292">
        <v>-4500</v>
      </c>
      <c r="T5" s="292">
        <v>-4500</v>
      </c>
      <c r="U5" s="292">
        <v>-4500</v>
      </c>
      <c r="V5" s="292">
        <v>-4500</v>
      </c>
      <c r="W5" s="292">
        <v>-4500</v>
      </c>
      <c r="X5" s="292">
        <v>-4500</v>
      </c>
      <c r="Y5" s="292">
        <v>-4500</v>
      </c>
      <c r="Z5" s="292">
        <v>-4500</v>
      </c>
      <c r="AA5" s="292">
        <v>-4500</v>
      </c>
      <c r="AB5" s="292">
        <v>-4500</v>
      </c>
      <c r="AC5" s="383">
        <v>-4500</v>
      </c>
      <c r="AD5" s="360">
        <f>SUM(F5:AC5)</f>
        <v>-99000</v>
      </c>
    </row>
    <row r="6" spans="1:30">
      <c r="A6" s="44"/>
      <c r="B6" s="44"/>
      <c r="C6" s="55" t="s">
        <v>388</v>
      </c>
      <c r="D6" s="207"/>
      <c r="E6" s="215"/>
      <c r="F6" s="292"/>
      <c r="G6" s="292">
        <v>-275620</v>
      </c>
      <c r="H6" s="292">
        <v>-7980</v>
      </c>
      <c r="I6" s="292"/>
      <c r="J6" s="292"/>
      <c r="K6" s="292"/>
      <c r="L6" s="292"/>
      <c r="M6" s="292"/>
      <c r="N6" s="292"/>
      <c r="O6" s="292"/>
      <c r="P6" s="292"/>
      <c r="Q6" s="292"/>
      <c r="R6" s="292"/>
      <c r="S6" s="292"/>
      <c r="T6" s="292"/>
      <c r="U6" s="292"/>
      <c r="V6" s="292"/>
      <c r="W6" s="292"/>
      <c r="X6" s="292"/>
      <c r="Y6" s="292"/>
      <c r="Z6" s="292"/>
      <c r="AA6" s="292"/>
      <c r="AB6" s="292"/>
      <c r="AC6" s="383"/>
      <c r="AD6" s="360">
        <f t="shared" ref="AD6:AD68" si="0">SUM(F6:AC6)</f>
        <v>-283600</v>
      </c>
    </row>
    <row r="7" spans="1:30" s="110" customFormat="1" ht="12">
      <c r="A7" s="107"/>
      <c r="B7" s="107"/>
      <c r="C7" s="108"/>
      <c r="D7" s="208"/>
      <c r="E7" s="216"/>
      <c r="F7" s="109"/>
      <c r="G7" s="109"/>
      <c r="H7" s="109"/>
      <c r="I7" s="109"/>
      <c r="J7" s="109"/>
      <c r="K7" s="109"/>
      <c r="L7" s="109"/>
      <c r="M7" s="109"/>
      <c r="N7" s="109"/>
      <c r="O7" s="109"/>
      <c r="P7" s="109"/>
      <c r="Q7" s="109"/>
      <c r="R7" s="109"/>
      <c r="S7" s="109"/>
      <c r="T7" s="109"/>
      <c r="U7" s="109"/>
      <c r="V7" s="109"/>
      <c r="W7" s="109"/>
      <c r="X7" s="109"/>
      <c r="Y7" s="109"/>
      <c r="Z7" s="109"/>
      <c r="AC7" s="262"/>
      <c r="AD7" s="360"/>
    </row>
    <row r="8" spans="1:30" s="53" customFormat="1" ht="12">
      <c r="A8" s="58" t="s">
        <v>219</v>
      </c>
      <c r="B8" s="58"/>
      <c r="D8" s="209"/>
      <c r="E8" s="216"/>
      <c r="H8" s="59"/>
      <c r="I8" s="59"/>
      <c r="J8" s="59"/>
      <c r="K8" s="59"/>
      <c r="L8" s="59"/>
      <c r="M8" s="59"/>
      <c r="N8" s="59"/>
      <c r="O8" s="59"/>
      <c r="P8" s="59"/>
      <c r="Q8" s="59"/>
      <c r="R8" s="59"/>
      <c r="S8" s="59"/>
      <c r="T8" s="59"/>
      <c r="U8" s="59"/>
      <c r="V8" s="59"/>
      <c r="W8" s="59"/>
      <c r="X8" s="59"/>
      <c r="Y8" s="59"/>
      <c r="AC8" s="263"/>
      <c r="AD8" s="360"/>
    </row>
    <row r="9" spans="1:30" s="53" customFormat="1" ht="12">
      <c r="A9" s="58"/>
      <c r="B9" s="70"/>
      <c r="D9" s="209"/>
      <c r="E9" s="216"/>
      <c r="H9" s="59"/>
      <c r="I9" s="59"/>
      <c r="J9" s="59"/>
      <c r="K9" s="59"/>
      <c r="L9" s="59"/>
      <c r="M9" s="59"/>
      <c r="N9" s="59"/>
      <c r="O9" s="59"/>
      <c r="P9" s="59"/>
      <c r="Q9" s="59"/>
      <c r="R9" s="59"/>
      <c r="S9" s="59"/>
      <c r="T9" s="59"/>
      <c r="U9" s="59"/>
      <c r="V9" s="59"/>
      <c r="W9" s="59"/>
      <c r="X9" s="59"/>
      <c r="Y9" s="59"/>
      <c r="Z9" s="59"/>
      <c r="AA9" s="59"/>
      <c r="AB9" s="59"/>
      <c r="AC9" s="264"/>
      <c r="AD9" s="360"/>
    </row>
    <row r="10" spans="1:30" s="53" customFormat="1" ht="12">
      <c r="A10" s="58"/>
      <c r="B10" s="5" t="s">
        <v>261</v>
      </c>
      <c r="D10" s="209"/>
      <c r="E10" s="216"/>
      <c r="H10" s="59"/>
      <c r="I10" s="59"/>
      <c r="J10" s="59"/>
      <c r="K10" s="59"/>
      <c r="L10" s="59"/>
      <c r="M10" s="59"/>
      <c r="N10" s="59"/>
      <c r="O10" s="59"/>
      <c r="P10" s="59"/>
      <c r="Q10" s="59"/>
      <c r="R10" s="59"/>
      <c r="S10" s="59"/>
      <c r="T10" s="59"/>
      <c r="U10" s="59"/>
      <c r="V10" s="59"/>
      <c r="W10" s="59"/>
      <c r="X10" s="59"/>
      <c r="Y10" s="59"/>
      <c r="Z10" s="59"/>
      <c r="AA10" s="59"/>
      <c r="AB10" s="59"/>
      <c r="AC10" s="264"/>
      <c r="AD10" s="360"/>
    </row>
    <row r="11" spans="1:30" s="53" customFormat="1" ht="12">
      <c r="A11" s="58"/>
      <c r="B11" s="70" t="s">
        <v>447</v>
      </c>
      <c r="C11" s="70" t="s">
        <v>350</v>
      </c>
      <c r="D11" s="209"/>
      <c r="E11" s="216"/>
      <c r="F11" s="59"/>
      <c r="G11" s="59"/>
      <c r="H11" s="59">
        <f>'VRE Users'!F7</f>
        <v>7000</v>
      </c>
      <c r="I11" s="59">
        <f>'VRE Users'!G7</f>
        <v>7000</v>
      </c>
      <c r="J11" s="59">
        <f>'VRE Users'!H7</f>
        <v>7000</v>
      </c>
      <c r="K11" s="59">
        <f>'VRE Users'!I7</f>
        <v>7000</v>
      </c>
      <c r="L11" s="59">
        <f>'VRE Users'!J7</f>
        <v>7000</v>
      </c>
      <c r="M11" s="59">
        <f>'VRE Users'!K7</f>
        <v>7000</v>
      </c>
      <c r="N11" s="59">
        <f>'VRE Users'!L7</f>
        <v>7000</v>
      </c>
      <c r="O11" s="59">
        <f>'VRE Users'!M7</f>
        <v>7000</v>
      </c>
      <c r="P11" s="59">
        <f>'VRE Users'!N7</f>
        <v>7000</v>
      </c>
      <c r="Q11" s="59">
        <f>'VRE Users'!O7</f>
        <v>7000</v>
      </c>
      <c r="R11" s="59">
        <f>'VRE Users'!P7</f>
        <v>7000</v>
      </c>
      <c r="S11" s="59">
        <f>'VRE Users'!Q7</f>
        <v>7000</v>
      </c>
      <c r="T11" s="59">
        <f>'VRE Users'!R7</f>
        <v>7000</v>
      </c>
      <c r="U11" s="59">
        <f>'VRE Users'!S7</f>
        <v>7000</v>
      </c>
      <c r="V11" s="59">
        <f>'VRE Users'!T7</f>
        <v>7000</v>
      </c>
      <c r="W11" s="59">
        <f>'VRE Users'!U7</f>
        <v>7000</v>
      </c>
      <c r="X11" s="59">
        <f>'VRE Users'!V7</f>
        <v>7000</v>
      </c>
      <c r="Y11" s="59">
        <f>'VRE Users'!W7</f>
        <v>7000</v>
      </c>
      <c r="Z11" s="59">
        <f>'VRE Users'!X7</f>
        <v>7000</v>
      </c>
      <c r="AA11" s="59">
        <f>'VRE Users'!Y7</f>
        <v>7000</v>
      </c>
      <c r="AB11" s="59">
        <f>'VRE Users'!Z7</f>
        <v>7000</v>
      </c>
      <c r="AC11" s="264">
        <f>'VRE Users'!AA7</f>
        <v>7000</v>
      </c>
      <c r="AD11" s="360">
        <f t="shared" si="0"/>
        <v>154000</v>
      </c>
    </row>
    <row r="12" spans="1:30" s="53" customFormat="1" ht="12">
      <c r="A12" s="58"/>
      <c r="B12" s="70" t="s">
        <v>446</v>
      </c>
      <c r="C12" s="54" t="s">
        <v>417</v>
      </c>
      <c r="D12" s="209"/>
      <c r="E12" s="216"/>
      <c r="H12" s="59">
        <f>'VRE Users'!F8</f>
        <v>1662.5</v>
      </c>
      <c r="I12" s="59">
        <f>'VRE Users'!G8</f>
        <v>1828.75</v>
      </c>
      <c r="J12" s="59">
        <f>'VRE Users'!H8</f>
        <v>1998.3249999999998</v>
      </c>
      <c r="K12" s="59">
        <f>'VRE Users'!I8</f>
        <v>2171.2914999999998</v>
      </c>
      <c r="L12" s="59">
        <f>'VRE Users'!J8</f>
        <v>2347.7173299999999</v>
      </c>
      <c r="M12" s="59">
        <f>'VRE Users'!K8</f>
        <v>2527.6716766000004</v>
      </c>
      <c r="N12" s="59">
        <f>'VRE Users'!L8</f>
        <v>2711.2251101320021</v>
      </c>
      <c r="O12" s="59">
        <f>'VRE Users'!M8</f>
        <v>2898.4496123346403</v>
      </c>
      <c r="P12" s="59">
        <f>'VRE Users'!N8</f>
        <v>3089.4186045813349</v>
      </c>
      <c r="Q12" s="59">
        <f>'VRE Users'!O8</f>
        <v>3284.2069766729619</v>
      </c>
      <c r="R12" s="59">
        <f>'VRE Users'!P8</f>
        <v>3482.8911162064205</v>
      </c>
      <c r="S12" s="59">
        <f>'VRE Users'!Q8</f>
        <v>3685.5489385305473</v>
      </c>
      <c r="T12" s="59">
        <f>'VRE Users'!R8</f>
        <v>3892.2599173011599</v>
      </c>
      <c r="U12" s="59">
        <f>'VRE Users'!S8</f>
        <v>4103.1051156471831</v>
      </c>
      <c r="V12" s="59">
        <f>'VRE Users'!T8</f>
        <v>4318.1672179601264</v>
      </c>
      <c r="W12" s="59">
        <f>'VRE Users'!U8</f>
        <v>4537.5305623193308</v>
      </c>
      <c r="X12" s="59">
        <f>'VRE Users'!V8</f>
        <v>4761.281173565716</v>
      </c>
      <c r="Y12" s="59">
        <f>'VRE Users'!W8</f>
        <v>4989.5067970370319</v>
      </c>
      <c r="Z12" s="59">
        <f>'VRE Users'!X8</f>
        <v>5222.2969329777725</v>
      </c>
      <c r="AA12" s="59">
        <f>'VRE Users'!Y8</f>
        <v>5459.7428716373261</v>
      </c>
      <c r="AB12" s="59">
        <f>'VRE Users'!Z8</f>
        <v>5701.937729070075</v>
      </c>
      <c r="AC12" s="264">
        <f>'VRE Users'!AA8</f>
        <v>5948.9764836514769</v>
      </c>
      <c r="AD12" s="360">
        <f t="shared" si="0"/>
        <v>80622.800666225099</v>
      </c>
    </row>
    <row r="13" spans="1:30" s="53" customFormat="1" ht="12">
      <c r="A13" s="58"/>
      <c r="B13" s="70"/>
      <c r="C13" s="78" t="s">
        <v>411</v>
      </c>
      <c r="D13" s="209"/>
      <c r="E13" s="216"/>
      <c r="H13" s="59">
        <f>'VRE Users'!F9</f>
        <v>87.5</v>
      </c>
      <c r="I13" s="59">
        <f>'VRE Users'!G9</f>
        <v>96.25</v>
      </c>
      <c r="J13" s="59">
        <f>'VRE Users'!H9</f>
        <v>105.17500000000001</v>
      </c>
      <c r="K13" s="59">
        <f>'VRE Users'!I9</f>
        <v>114.27849999999999</v>
      </c>
      <c r="L13" s="59">
        <f>'VRE Users'!J9</f>
        <v>123.56407</v>
      </c>
      <c r="M13" s="59">
        <f>'VRE Users'!K9</f>
        <v>133.03535140000005</v>
      </c>
      <c r="N13" s="59">
        <f>'VRE Users'!L9</f>
        <v>142.6960584280001</v>
      </c>
      <c r="O13" s="59">
        <f>'VRE Users'!M9</f>
        <v>152.54997959656004</v>
      </c>
      <c r="P13" s="59">
        <f>'VRE Users'!N9</f>
        <v>162.60097918849135</v>
      </c>
      <c r="Q13" s="59">
        <f>'VRE Users'!O9</f>
        <v>172.85299877226117</v>
      </c>
      <c r="R13" s="59">
        <f>'VRE Users'!P9</f>
        <v>183.31005874770636</v>
      </c>
      <c r="S13" s="59">
        <f>'VRE Users'!Q9</f>
        <v>193.9762599226604</v>
      </c>
      <c r="T13" s="59">
        <f>'VRE Users'!R9</f>
        <v>204.85578512111371</v>
      </c>
      <c r="U13" s="59">
        <f>'VRE Users'!S9</f>
        <v>215.95290082353597</v>
      </c>
      <c r="V13" s="59">
        <f>'VRE Users'!T9</f>
        <v>227.27195884000668</v>
      </c>
      <c r="W13" s="59">
        <f>'VRE Users'!U9</f>
        <v>238.81739801680689</v>
      </c>
      <c r="X13" s="59">
        <f>'VRE Users'!V9</f>
        <v>250.59374597714296</v>
      </c>
      <c r="Y13" s="59">
        <f>'VRE Users'!W9</f>
        <v>262.60562089668593</v>
      </c>
      <c r="Z13" s="59">
        <f>'VRE Users'!X9</f>
        <v>274.85773331461962</v>
      </c>
      <c r="AA13" s="59">
        <f>'VRE Users'!Y9</f>
        <v>287.35488798091194</v>
      </c>
      <c r="AB13" s="59">
        <f>'VRE Users'!Z9</f>
        <v>300.10198574053032</v>
      </c>
      <c r="AC13" s="264">
        <f>'VRE Users'!AA9</f>
        <v>313.10402545534089</v>
      </c>
      <c r="AD13" s="360">
        <f t="shared" si="0"/>
        <v>4243.3052982223744</v>
      </c>
    </row>
    <row r="14" spans="1:30" s="53" customFormat="1" ht="12">
      <c r="A14" s="58"/>
      <c r="B14" s="70"/>
      <c r="C14" s="48"/>
      <c r="D14" s="209"/>
      <c r="E14" s="216"/>
      <c r="H14" s="59"/>
      <c r="I14" s="59"/>
      <c r="J14" s="59"/>
      <c r="K14" s="59"/>
      <c r="L14" s="59"/>
      <c r="M14" s="59"/>
      <c r="N14" s="59"/>
      <c r="O14" s="59"/>
      <c r="P14" s="59"/>
      <c r="Q14" s="59"/>
      <c r="R14" s="59"/>
      <c r="S14" s="59"/>
      <c r="T14" s="59"/>
      <c r="U14" s="59"/>
      <c r="V14" s="59"/>
      <c r="W14" s="59"/>
      <c r="X14" s="59"/>
      <c r="Y14" s="59"/>
      <c r="Z14" s="59"/>
      <c r="AA14" s="59"/>
      <c r="AB14" s="59"/>
      <c r="AC14" s="264"/>
      <c r="AD14" s="360"/>
    </row>
    <row r="15" spans="1:30" s="53" customFormat="1" ht="12">
      <c r="A15" s="58"/>
      <c r="B15" s="70"/>
      <c r="D15" s="209"/>
      <c r="E15" s="216"/>
      <c r="H15" s="59"/>
      <c r="I15" s="59"/>
      <c r="J15" s="59"/>
      <c r="K15" s="59"/>
      <c r="L15" s="59"/>
      <c r="M15" s="59"/>
      <c r="N15" s="59"/>
      <c r="O15" s="59"/>
      <c r="P15" s="59"/>
      <c r="Q15" s="59"/>
      <c r="R15" s="59"/>
      <c r="S15" s="59"/>
      <c r="T15" s="59"/>
      <c r="U15" s="59"/>
      <c r="V15" s="59"/>
      <c r="W15" s="59"/>
      <c r="X15" s="59"/>
      <c r="Y15" s="59"/>
      <c r="AC15" s="263"/>
      <c r="AD15" s="360"/>
    </row>
    <row r="16" spans="1:30" s="53" customFormat="1" ht="12">
      <c r="A16" s="58"/>
      <c r="B16" s="70"/>
      <c r="C16" s="58" t="s">
        <v>420</v>
      </c>
      <c r="D16" s="209"/>
      <c r="E16" s="216"/>
      <c r="H16" s="59"/>
      <c r="I16" s="59"/>
      <c r="J16" s="59"/>
      <c r="K16" s="59"/>
      <c r="L16" s="59"/>
      <c r="M16" s="59"/>
      <c r="N16" s="59"/>
      <c r="O16" s="59"/>
      <c r="P16" s="59"/>
      <c r="Q16" s="59"/>
      <c r="R16" s="59"/>
      <c r="S16" s="59"/>
      <c r="T16" s="59"/>
      <c r="U16" s="59"/>
      <c r="V16" s="59"/>
      <c r="W16" s="59"/>
      <c r="X16" s="59"/>
      <c r="Y16" s="59"/>
      <c r="AC16" s="263"/>
      <c r="AD16" s="360"/>
    </row>
    <row r="17" spans="1:30" s="53" customFormat="1" ht="12">
      <c r="A17" s="58"/>
      <c r="B17" s="70"/>
      <c r="C17" s="78" t="s">
        <v>488</v>
      </c>
      <c r="D17" s="209"/>
      <c r="E17" s="216"/>
      <c r="F17" s="279">
        <f>'FG Users'!C40</f>
        <v>0</v>
      </c>
      <c r="G17" s="279">
        <f>'FG Users'!D40</f>
        <v>0</v>
      </c>
      <c r="H17" s="279">
        <f>'VRE Users'!F17</f>
        <v>1750</v>
      </c>
      <c r="I17" s="279">
        <f>'VRE Users'!G17</f>
        <v>1925</v>
      </c>
      <c r="J17" s="279">
        <f>'VRE Users'!H17</f>
        <v>2103.5</v>
      </c>
      <c r="K17" s="279">
        <f>'VRE Users'!I17</f>
        <v>2285.5699999999997</v>
      </c>
      <c r="L17" s="279">
        <f>'VRE Users'!J17</f>
        <v>2471.2813999999998</v>
      </c>
      <c r="M17" s="279">
        <f>'VRE Users'!K17</f>
        <v>2660.7070280000003</v>
      </c>
      <c r="N17" s="279">
        <f>'VRE Users'!L17</f>
        <v>2853.9211685600021</v>
      </c>
      <c r="O17" s="279">
        <f>'VRE Users'!M17</f>
        <v>3050.9995919312005</v>
      </c>
      <c r="P17" s="279">
        <f>'VRE Users'!N17</f>
        <v>3252.0195837698261</v>
      </c>
      <c r="Q17" s="279">
        <f>'VRE Users'!O17</f>
        <v>3457.0599754452232</v>
      </c>
      <c r="R17" s="279">
        <f>'VRE Users'!P17</f>
        <v>3666.2011749541271</v>
      </c>
      <c r="S17" s="279">
        <f>'VRE Users'!Q17</f>
        <v>3879.5251984532078</v>
      </c>
      <c r="T17" s="279">
        <f>'VRE Users'!R17</f>
        <v>4097.1157024222739</v>
      </c>
      <c r="U17" s="279">
        <f>'VRE Users'!S17</f>
        <v>4319.0580164707189</v>
      </c>
      <c r="V17" s="279">
        <f>'VRE Users'!T17</f>
        <v>4545.4391768001333</v>
      </c>
      <c r="W17" s="279">
        <f>'VRE Users'!U17</f>
        <v>4776.3479603361375</v>
      </c>
      <c r="X17" s="279">
        <f>'VRE Users'!V17</f>
        <v>5011.8749195428591</v>
      </c>
      <c r="Y17" s="279">
        <f>'VRE Users'!W17</f>
        <v>5252.1124179337176</v>
      </c>
      <c r="Z17" s="279">
        <f>'VRE Users'!X17</f>
        <v>5497.154666292392</v>
      </c>
      <c r="AA17" s="279">
        <f>'VRE Users'!Y17</f>
        <v>5747.0977596182383</v>
      </c>
      <c r="AB17" s="279">
        <f>'VRE Users'!Z17</f>
        <v>6002.0397148106049</v>
      </c>
      <c r="AC17" s="384">
        <f>'VRE Users'!AA17</f>
        <v>6262.0805091068178</v>
      </c>
      <c r="AD17" s="360">
        <f t="shared" si="0"/>
        <v>84866.105964447474</v>
      </c>
    </row>
    <row r="18" spans="1:30" s="53" customFormat="1" ht="12">
      <c r="A18" s="58"/>
      <c r="B18" s="70"/>
      <c r="C18" s="78" t="s">
        <v>489</v>
      </c>
      <c r="D18" s="209"/>
      <c r="E18" s="216"/>
      <c r="F18" s="279">
        <f>'FG Users'!C41</f>
        <v>0</v>
      </c>
      <c r="G18" s="279">
        <f>'FG Users'!D41</f>
        <v>0</v>
      </c>
      <c r="H18" s="279">
        <f>'VRE Users'!F18</f>
        <v>0</v>
      </c>
      <c r="I18" s="279">
        <f>'VRE Users'!G18</f>
        <v>0</v>
      </c>
      <c r="J18" s="279">
        <f>'VRE Users'!H18</f>
        <v>0</v>
      </c>
      <c r="K18" s="279">
        <f>'VRE Users'!I18</f>
        <v>0</v>
      </c>
      <c r="L18" s="279">
        <f>'VRE Users'!J18</f>
        <v>0</v>
      </c>
      <c r="M18" s="279">
        <f>'VRE Users'!K18</f>
        <v>0</v>
      </c>
      <c r="N18" s="279">
        <f>'VRE Users'!L18</f>
        <v>0</v>
      </c>
      <c r="O18" s="279">
        <f>'VRE Users'!M18</f>
        <v>0</v>
      </c>
      <c r="P18" s="279">
        <f>'VRE Users'!N18</f>
        <v>0</v>
      </c>
      <c r="Q18" s="279">
        <f>'VRE Users'!O18</f>
        <v>0</v>
      </c>
      <c r="R18" s="279">
        <f>'VRE Users'!P18</f>
        <v>0</v>
      </c>
      <c r="S18" s="279">
        <f>'VRE Users'!Q18</f>
        <v>0</v>
      </c>
      <c r="T18" s="279">
        <f>'VRE Users'!R18</f>
        <v>0</v>
      </c>
      <c r="U18" s="279">
        <f>'VRE Users'!S18</f>
        <v>0</v>
      </c>
      <c r="V18" s="279">
        <f>'VRE Users'!T18</f>
        <v>0</v>
      </c>
      <c r="W18" s="279">
        <f>'VRE Users'!U18</f>
        <v>0</v>
      </c>
      <c r="X18" s="279">
        <f>'VRE Users'!V18</f>
        <v>0</v>
      </c>
      <c r="Y18" s="279">
        <f>'VRE Users'!W18</f>
        <v>0</v>
      </c>
      <c r="Z18" s="279">
        <f>'VRE Users'!X18</f>
        <v>0</v>
      </c>
      <c r="AA18" s="279">
        <f>'VRE Users'!Y18</f>
        <v>0</v>
      </c>
      <c r="AB18" s="279">
        <f>'VRE Users'!Z18</f>
        <v>0</v>
      </c>
      <c r="AC18" s="384">
        <f>'VRE Users'!AA18</f>
        <v>0</v>
      </c>
      <c r="AD18" s="360"/>
    </row>
    <row r="19" spans="1:30" s="53" customFormat="1" ht="12">
      <c r="A19" s="58"/>
      <c r="B19" s="70"/>
      <c r="C19" s="78" t="s">
        <v>490</v>
      </c>
      <c r="D19" s="209"/>
      <c r="E19" s="216"/>
      <c r="F19" s="279">
        <f>'FG Users'!C42</f>
        <v>0</v>
      </c>
      <c r="G19" s="279">
        <f>'FG Users'!D42</f>
        <v>0</v>
      </c>
      <c r="H19" s="279">
        <f>'VRE Users'!F19</f>
        <v>-1662.5</v>
      </c>
      <c r="I19" s="279">
        <f>'VRE Users'!G19</f>
        <v>-1828.75</v>
      </c>
      <c r="J19" s="279">
        <f>'VRE Users'!H19</f>
        <v>-1998.3249999999998</v>
      </c>
      <c r="K19" s="279">
        <f>'VRE Users'!I19</f>
        <v>-2171.2914999999998</v>
      </c>
      <c r="L19" s="279">
        <f>'VRE Users'!J19</f>
        <v>-2347.7173299999999</v>
      </c>
      <c r="M19" s="279">
        <f>'VRE Users'!K19</f>
        <v>-2527.6716766000004</v>
      </c>
      <c r="N19" s="279">
        <f>'VRE Users'!L19</f>
        <v>-2711.2251101320021</v>
      </c>
      <c r="O19" s="279">
        <f>'VRE Users'!M19</f>
        <v>-2898.4496123346403</v>
      </c>
      <c r="P19" s="279">
        <f>'VRE Users'!N19</f>
        <v>-3089.4186045813349</v>
      </c>
      <c r="Q19" s="279">
        <f>'VRE Users'!O19</f>
        <v>-3284.2069766729619</v>
      </c>
      <c r="R19" s="279">
        <f>'VRE Users'!P19</f>
        <v>-3482.8911162064205</v>
      </c>
      <c r="S19" s="279">
        <f>'VRE Users'!Q19</f>
        <v>-3685.5489385305473</v>
      </c>
      <c r="T19" s="279">
        <f>'VRE Users'!R19</f>
        <v>-3892.2599173011599</v>
      </c>
      <c r="U19" s="279">
        <f>'VRE Users'!S19</f>
        <v>-4103.1051156471831</v>
      </c>
      <c r="V19" s="279">
        <f>'VRE Users'!T19</f>
        <v>-4318.1672179601264</v>
      </c>
      <c r="W19" s="279">
        <f>'VRE Users'!U19</f>
        <v>-4537.5305623193308</v>
      </c>
      <c r="X19" s="279">
        <f>'VRE Users'!V19</f>
        <v>-4761.281173565716</v>
      </c>
      <c r="Y19" s="279">
        <f>'VRE Users'!W19</f>
        <v>-4989.5067970370319</v>
      </c>
      <c r="Z19" s="279">
        <f>'VRE Users'!X19</f>
        <v>-5222.2969329777725</v>
      </c>
      <c r="AA19" s="279">
        <f>'VRE Users'!Y19</f>
        <v>-5459.7428716373261</v>
      </c>
      <c r="AB19" s="279">
        <f>'VRE Users'!Z19</f>
        <v>-5701.937729070075</v>
      </c>
      <c r="AC19" s="384">
        <f>'VRE Users'!AA19</f>
        <v>-5948.9764836514769</v>
      </c>
      <c r="AD19" s="360">
        <f t="shared" si="0"/>
        <v>-80622.800666225099</v>
      </c>
    </row>
    <row r="20" spans="1:30" s="53" customFormat="1" ht="12">
      <c r="A20" s="58"/>
      <c r="B20" s="70"/>
      <c r="C20" s="78" t="s">
        <v>491</v>
      </c>
      <c r="D20" s="209"/>
      <c r="E20" s="216"/>
      <c r="F20" s="279">
        <f>'FG Users'!C43</f>
        <v>0</v>
      </c>
      <c r="G20" s="279">
        <f>'FG Users'!D43</f>
        <v>0</v>
      </c>
      <c r="H20" s="279">
        <f>'VRE Users'!F20</f>
        <v>-41562.5</v>
      </c>
      <c r="I20" s="279">
        <f>'VRE Users'!G20</f>
        <v>-45718.75</v>
      </c>
      <c r="J20" s="279">
        <f>'VRE Users'!H20</f>
        <v>-49958.124999999993</v>
      </c>
      <c r="K20" s="279">
        <f>'VRE Users'!I20</f>
        <v>-54282.287499999999</v>
      </c>
      <c r="L20" s="279">
        <f>'VRE Users'!J20</f>
        <v>-58692.933250000002</v>
      </c>
      <c r="M20" s="279">
        <f>'VRE Users'!K20</f>
        <v>-63191.791915000009</v>
      </c>
      <c r="N20" s="279">
        <f>'VRE Users'!L20</f>
        <v>-67780.627753300054</v>
      </c>
      <c r="O20" s="279">
        <f>'VRE Users'!M20</f>
        <v>-72461.240308366003</v>
      </c>
      <c r="P20" s="279">
        <f>'VRE Users'!N20</f>
        <v>-77235.465114533377</v>
      </c>
      <c r="Q20" s="279">
        <f>'VRE Users'!O20</f>
        <v>-82105.17441682404</v>
      </c>
      <c r="R20" s="279">
        <f>'VRE Users'!P20</f>
        <v>-87072.277905160518</v>
      </c>
      <c r="S20" s="279">
        <f>'VRE Users'!Q20</f>
        <v>-92138.723463263683</v>
      </c>
      <c r="T20" s="279">
        <f>'VRE Users'!R20</f>
        <v>-97306.497932529004</v>
      </c>
      <c r="U20" s="279">
        <f>'VRE Users'!S20</f>
        <v>-102577.62789117958</v>
      </c>
      <c r="V20" s="279">
        <f>'VRE Users'!T20</f>
        <v>-107954.18044900316</v>
      </c>
      <c r="W20" s="279">
        <f>'VRE Users'!U20</f>
        <v>-113438.26405798327</v>
      </c>
      <c r="X20" s="279">
        <f>'VRE Users'!V20</f>
        <v>-119032.0293391429</v>
      </c>
      <c r="Y20" s="279">
        <f>'VRE Users'!W20</f>
        <v>-124737.6699259258</v>
      </c>
      <c r="Z20" s="279">
        <f>'VRE Users'!X20</f>
        <v>-130557.42332444432</v>
      </c>
      <c r="AA20" s="279">
        <f>'VRE Users'!Y20</f>
        <v>-136493.57179093314</v>
      </c>
      <c r="AB20" s="279">
        <f>'VRE Users'!Z20</f>
        <v>-142548.44322675187</v>
      </c>
      <c r="AC20" s="384">
        <f>'VRE Users'!AA20</f>
        <v>-148724.41209128691</v>
      </c>
      <c r="AD20" s="360">
        <f t="shared" si="0"/>
        <v>-2015570.0166556274</v>
      </c>
    </row>
    <row r="21" spans="1:30" s="53" customFormat="1" ht="12">
      <c r="A21" s="58"/>
      <c r="B21" s="70"/>
      <c r="C21" s="54" t="s">
        <v>492</v>
      </c>
      <c r="D21" s="209"/>
      <c r="E21" s="216"/>
      <c r="F21" s="280">
        <f>'FG Users'!C44</f>
        <v>0</v>
      </c>
      <c r="G21" s="280">
        <f>'FG Users'!D44</f>
        <v>0</v>
      </c>
      <c r="H21" s="280">
        <f>'VRE Users'!F21</f>
        <v>7001.406170255932</v>
      </c>
      <c r="I21" s="280">
        <f>'VRE Users'!G21</f>
        <v>7535.4629353582823</v>
      </c>
      <c r="J21" s="280">
        <f>'VRE Users'!H21</f>
        <v>8060.3836925185642</v>
      </c>
      <c r="K21" s="280">
        <f>'VRE Users'!I21</f>
        <v>8576.9977447504352</v>
      </c>
      <c r="L21" s="280">
        <f>'VRE Users'!J21</f>
        <v>9086.0723535068792</v>
      </c>
      <c r="M21" s="280">
        <f>'VRE Users'!K21</f>
        <v>9588.3189979900071</v>
      </c>
      <c r="N21" s="280">
        <f>'VRE Users'!L21</f>
        <v>10279.153468213481</v>
      </c>
      <c r="O21" s="280">
        <f>'VRE Users'!M21</f>
        <v>10983.167539377453</v>
      </c>
      <c r="P21" s="280">
        <f>'VRE Users'!N21</f>
        <v>11700.618366253348</v>
      </c>
      <c r="Q21" s="280">
        <f>'VRE Users'!O21</f>
        <v>12431.76811823949</v>
      </c>
      <c r="R21" s="280">
        <f>'VRE Users'!P21</f>
        <v>13176.884077222425</v>
      </c>
      <c r="S21" s="280">
        <f>'VRE Users'!Q21</f>
        <v>13936.238737349006</v>
      </c>
      <c r="T21" s="280">
        <f>'VRE Users'!R21</f>
        <v>14710.109906746849</v>
      </c>
      <c r="U21" s="280">
        <f>'VRE Users'!S21</f>
        <v>15498.780811231003</v>
      </c>
      <c r="V21" s="280">
        <f>'VRE Users'!T21</f>
        <v>16302.540200035886</v>
      </c>
      <c r="W21" s="280">
        <f>'VRE Users'!U21</f>
        <v>17121.682453611847</v>
      </c>
      <c r="X21" s="280">
        <f>'VRE Users'!V21</f>
        <v>17956.507693526772</v>
      </c>
      <c r="Y21" s="280">
        <f>'VRE Users'!W21</f>
        <v>18807.32189451396</v>
      </c>
      <c r="Z21" s="280">
        <f>'VRE Users'!X21</f>
        <v>19674.436998707974</v>
      </c>
      <c r="AA21" s="280">
        <f>'VRE Users'!Y21</f>
        <v>20558.17103211151</v>
      </c>
      <c r="AB21" s="280">
        <f>'VRE Users'!Z21</f>
        <v>21458.848223336667</v>
      </c>
      <c r="AC21" s="385">
        <f>'VRE Users'!AA21</f>
        <v>22376.799124665038</v>
      </c>
      <c r="AD21" s="360">
        <f t="shared" si="0"/>
        <v>306821.67053952278</v>
      </c>
    </row>
    <row r="22" spans="1:30" s="53" customFormat="1" ht="12">
      <c r="A22" s="58"/>
      <c r="B22" s="70"/>
      <c r="C22" s="66"/>
      <c r="D22" s="209"/>
      <c r="E22" s="216"/>
      <c r="H22" s="59"/>
      <c r="I22" s="59"/>
      <c r="J22" s="59"/>
      <c r="K22" s="59"/>
      <c r="L22" s="59"/>
      <c r="M22" s="59"/>
      <c r="N22" s="59"/>
      <c r="O22" s="59"/>
      <c r="P22" s="59"/>
      <c r="Q22" s="59"/>
      <c r="R22" s="59"/>
      <c r="S22" s="59"/>
      <c r="T22" s="59"/>
      <c r="U22" s="59"/>
      <c r="V22" s="59"/>
      <c r="W22" s="59"/>
      <c r="X22" s="59"/>
      <c r="Y22" s="59"/>
      <c r="AC22" s="263"/>
      <c r="AD22" s="360"/>
    </row>
    <row r="23" spans="1:30" s="53" customFormat="1" ht="12">
      <c r="A23" s="58"/>
      <c r="B23" s="58"/>
      <c r="D23" s="209"/>
      <c r="E23" s="216"/>
      <c r="H23" s="59"/>
      <c r="I23" s="59"/>
      <c r="J23" s="59"/>
      <c r="K23" s="59"/>
      <c r="L23" s="59"/>
      <c r="M23" s="59"/>
      <c r="N23" s="59"/>
      <c r="O23" s="59"/>
      <c r="P23" s="59"/>
      <c r="Q23" s="59"/>
      <c r="R23" s="59"/>
      <c r="S23" s="59"/>
      <c r="T23" s="59"/>
      <c r="U23" s="59"/>
      <c r="V23" s="59"/>
      <c r="W23" s="59"/>
      <c r="X23" s="59"/>
      <c r="Y23" s="59"/>
      <c r="AC23" s="263"/>
      <c r="AD23" s="360"/>
    </row>
    <row r="24" spans="1:30" s="53" customFormat="1" ht="12">
      <c r="A24" s="58" t="s">
        <v>348</v>
      </c>
      <c r="B24" s="58"/>
      <c r="D24" s="209"/>
      <c r="E24" s="216"/>
      <c r="H24" s="59"/>
      <c r="I24" s="59"/>
      <c r="J24" s="59"/>
      <c r="K24" s="59"/>
      <c r="L24" s="59"/>
      <c r="M24" s="59"/>
      <c r="N24" s="59"/>
      <c r="O24" s="59"/>
      <c r="P24" s="59"/>
      <c r="Q24" s="59"/>
      <c r="R24" s="59"/>
      <c r="S24" s="59"/>
      <c r="T24" s="59"/>
      <c r="U24" s="59"/>
      <c r="V24" s="59"/>
      <c r="W24" s="59"/>
      <c r="X24" s="59"/>
      <c r="Y24" s="59"/>
      <c r="AC24" s="263"/>
      <c r="AD24" s="360"/>
    </row>
    <row r="25" spans="1:30" s="53" customFormat="1" ht="12">
      <c r="A25" s="58"/>
      <c r="B25" s="58"/>
      <c r="C25" s="197" t="s">
        <v>349</v>
      </c>
      <c r="D25" s="209"/>
      <c r="E25" s="216"/>
      <c r="H25" s="59"/>
      <c r="I25" s="59"/>
      <c r="J25" s="59"/>
      <c r="K25" s="59"/>
      <c r="L25" s="59"/>
      <c r="M25" s="59"/>
      <c r="N25" s="59"/>
      <c r="O25" s="59"/>
      <c r="P25" s="59"/>
      <c r="Q25" s="59"/>
      <c r="R25" s="59"/>
      <c r="S25" s="59"/>
      <c r="T25" s="59"/>
      <c r="U25" s="59"/>
      <c r="V25" s="59"/>
      <c r="W25" s="59"/>
      <c r="X25" s="59"/>
      <c r="Y25" s="59"/>
      <c r="AC25" s="263"/>
      <c r="AD25" s="360"/>
    </row>
    <row r="26" spans="1:30" s="53" customFormat="1" ht="12">
      <c r="A26" s="58"/>
      <c r="B26" s="58"/>
      <c r="D26" s="209"/>
      <c r="E26" s="216"/>
      <c r="H26" s="59"/>
      <c r="I26" s="59"/>
      <c r="J26" s="59"/>
      <c r="K26" s="59"/>
      <c r="L26" s="59"/>
      <c r="M26" s="59"/>
      <c r="N26" s="59"/>
      <c r="O26" s="59"/>
      <c r="P26" s="59"/>
      <c r="Q26" s="59"/>
      <c r="R26" s="59"/>
      <c r="S26" s="59"/>
      <c r="T26" s="59"/>
      <c r="U26" s="59"/>
      <c r="V26" s="59"/>
      <c r="W26" s="59"/>
      <c r="X26" s="59"/>
      <c r="Y26" s="59"/>
      <c r="AC26" s="263"/>
      <c r="AD26" s="360"/>
    </row>
    <row r="27" spans="1:30" s="53" customFormat="1" ht="12">
      <c r="A27" s="58"/>
      <c r="B27" s="58"/>
      <c r="C27" s="45"/>
      <c r="D27" s="210"/>
      <c r="E27" s="216"/>
      <c r="F27" s="59"/>
      <c r="G27" s="59"/>
      <c r="H27" s="59"/>
      <c r="I27" s="59"/>
      <c r="J27" s="59"/>
      <c r="K27" s="59"/>
      <c r="L27" s="59"/>
      <c r="M27" s="59"/>
      <c r="N27" s="59"/>
      <c r="O27" s="59"/>
      <c r="P27" s="59"/>
      <c r="Q27" s="59"/>
      <c r="R27" s="59"/>
      <c r="S27" s="59"/>
      <c r="T27" s="59"/>
      <c r="U27" s="59"/>
      <c r="V27" s="59"/>
      <c r="W27" s="59"/>
      <c r="X27" s="59"/>
      <c r="Y27" s="59"/>
      <c r="AC27" s="263"/>
      <c r="AD27" s="360"/>
    </row>
    <row r="28" spans="1:30" s="53" customFormat="1" ht="12">
      <c r="A28" s="44" t="s">
        <v>346</v>
      </c>
      <c r="B28" s="44"/>
      <c r="C28" s="45"/>
      <c r="D28" s="210"/>
      <c r="E28" s="217"/>
      <c r="F28" s="45"/>
      <c r="G28" s="59"/>
      <c r="H28" s="59"/>
      <c r="I28" s="59"/>
      <c r="J28" s="59"/>
      <c r="K28" s="59"/>
      <c r="L28" s="59"/>
      <c r="M28" s="59"/>
      <c r="N28" s="59"/>
      <c r="O28" s="59"/>
      <c r="P28" s="59"/>
      <c r="Q28" s="59"/>
      <c r="R28" s="59"/>
      <c r="S28" s="59"/>
      <c r="T28" s="59"/>
      <c r="U28" s="59"/>
      <c r="V28" s="59"/>
      <c r="W28" s="59"/>
      <c r="X28" s="59"/>
      <c r="Y28" s="59"/>
      <c r="AC28" s="263"/>
      <c r="AD28" s="360"/>
    </row>
    <row r="29" spans="1:30" s="53" customFormat="1" ht="12">
      <c r="A29" s="44"/>
      <c r="B29" s="44"/>
      <c r="C29" s="45"/>
      <c r="D29" s="210"/>
      <c r="E29" s="217"/>
      <c r="F29" s="45"/>
      <c r="G29" s="59"/>
      <c r="H29" s="59"/>
      <c r="I29" s="59"/>
      <c r="J29" s="59"/>
      <c r="K29" s="59"/>
      <c r="L29" s="59"/>
      <c r="M29" s="59"/>
      <c r="N29" s="59"/>
      <c r="O29" s="59"/>
      <c r="P29" s="59"/>
      <c r="Q29" s="59"/>
      <c r="R29" s="59"/>
      <c r="S29" s="59"/>
      <c r="T29" s="59"/>
      <c r="U29" s="59"/>
      <c r="V29" s="59"/>
      <c r="W29" s="59"/>
      <c r="X29" s="59"/>
      <c r="Y29" s="59"/>
      <c r="AC29" s="263"/>
      <c r="AD29" s="360"/>
    </row>
    <row r="30" spans="1:30" s="53" customFormat="1" ht="12">
      <c r="A30" s="44"/>
      <c r="B30" s="5" t="s">
        <v>261</v>
      </c>
      <c r="C30" s="55"/>
      <c r="D30" s="210"/>
      <c r="E30" s="217"/>
      <c r="F30" s="45"/>
      <c r="G30" s="59"/>
      <c r="H30" s="59"/>
      <c r="I30" s="59"/>
      <c r="J30" s="59"/>
      <c r="K30" s="59"/>
      <c r="L30" s="59"/>
      <c r="M30" s="59"/>
      <c r="N30" s="59"/>
      <c r="O30" s="59"/>
      <c r="P30" s="59"/>
      <c r="Q30" s="59"/>
      <c r="R30" s="59"/>
      <c r="S30" s="59"/>
      <c r="T30" s="59"/>
      <c r="U30" s="59"/>
      <c r="V30" s="59"/>
      <c r="W30" s="59"/>
      <c r="X30" s="59"/>
      <c r="Y30" s="59"/>
      <c r="AC30" s="263"/>
      <c r="AD30" s="360"/>
    </row>
    <row r="31" spans="1:30" s="53" customFormat="1" ht="12">
      <c r="A31" s="44"/>
      <c r="B31" s="70" t="s">
        <v>447</v>
      </c>
      <c r="C31" s="70" t="s">
        <v>350</v>
      </c>
      <c r="D31" s="210"/>
      <c r="E31" s="217"/>
      <c r="F31" s="45"/>
      <c r="G31" s="59"/>
      <c r="H31" s="59"/>
      <c r="I31" s="59"/>
      <c r="J31" s="59"/>
      <c r="K31" s="59"/>
      <c r="L31" s="59"/>
      <c r="M31" s="59"/>
      <c r="N31" s="59"/>
      <c r="O31" s="59"/>
      <c r="P31" s="59"/>
      <c r="Q31" s="59"/>
      <c r="R31" s="59"/>
      <c r="S31" s="59"/>
      <c r="T31" s="59"/>
      <c r="U31" s="59"/>
      <c r="V31" s="59"/>
      <c r="W31" s="59"/>
      <c r="X31" s="59"/>
      <c r="Y31" s="59"/>
      <c r="AC31" s="263"/>
      <c r="AD31" s="360"/>
    </row>
    <row r="32" spans="1:30" s="53" customFormat="1" ht="12">
      <c r="A32" s="44"/>
      <c r="C32" s="63" t="s">
        <v>131</v>
      </c>
      <c r="D32" s="210"/>
      <c r="E32" s="217"/>
      <c r="F32" s="45"/>
      <c r="G32" s="59"/>
      <c r="H32" s="59"/>
      <c r="I32" s="59"/>
      <c r="J32" s="59"/>
      <c r="K32" s="59"/>
      <c r="L32" s="59"/>
      <c r="M32" s="59"/>
      <c r="N32" s="59"/>
      <c r="O32" s="59"/>
      <c r="P32" s="59"/>
      <c r="Q32" s="59"/>
      <c r="R32" s="59"/>
      <c r="S32" s="59"/>
      <c r="T32" s="59"/>
      <c r="U32" s="59"/>
      <c r="V32" s="59"/>
      <c r="W32" s="59"/>
      <c r="X32" s="59"/>
      <c r="Y32" s="59"/>
      <c r="AC32" s="263"/>
      <c r="AD32" s="360"/>
    </row>
    <row r="33" spans="1:30" s="53" customFormat="1" ht="12">
      <c r="A33" s="44"/>
      <c r="B33" s="70"/>
      <c r="C33" s="226" t="s">
        <v>383</v>
      </c>
      <c r="D33" s="210">
        <v>0</v>
      </c>
      <c r="E33" s="217"/>
      <c r="F33" s="45"/>
      <c r="G33" s="59"/>
      <c r="H33" s="59"/>
      <c r="I33" s="59"/>
      <c r="J33" s="59"/>
      <c r="K33" s="59"/>
      <c r="L33" s="59"/>
      <c r="M33" s="59"/>
      <c r="N33" s="59"/>
      <c r="O33" s="59"/>
      <c r="P33" s="59"/>
      <c r="Q33" s="59"/>
      <c r="R33" s="59"/>
      <c r="S33" s="59"/>
      <c r="T33" s="59"/>
      <c r="U33" s="59"/>
      <c r="V33" s="59"/>
      <c r="W33" s="59"/>
      <c r="X33" s="59"/>
      <c r="Y33" s="59"/>
      <c r="AC33" s="263"/>
      <c r="AD33" s="360"/>
    </row>
    <row r="34" spans="1:30" s="53" customFormat="1" ht="12">
      <c r="A34" s="44"/>
      <c r="B34" s="70"/>
      <c r="C34" s="224" t="s">
        <v>422</v>
      </c>
      <c r="D34" s="253">
        <f>'Price Assumptions'!$B$3</f>
        <v>12.5</v>
      </c>
      <c r="E34" s="217"/>
      <c r="F34" s="45"/>
      <c r="G34" s="59"/>
      <c r="H34" s="59"/>
      <c r="I34" s="59"/>
      <c r="J34" s="59"/>
      <c r="K34" s="59"/>
      <c r="L34" s="59"/>
      <c r="M34" s="59"/>
      <c r="N34" s="59"/>
      <c r="O34" s="59"/>
      <c r="P34" s="59"/>
      <c r="Q34" s="59"/>
      <c r="R34" s="59"/>
      <c r="S34" s="59"/>
      <c r="T34" s="59"/>
      <c r="U34" s="59"/>
      <c r="V34" s="59"/>
      <c r="W34" s="59"/>
      <c r="X34" s="59"/>
      <c r="Y34" s="59"/>
      <c r="AC34" s="263"/>
      <c r="AD34" s="360"/>
    </row>
    <row r="35" spans="1:30" s="53" customFormat="1" ht="12">
      <c r="A35" s="44"/>
      <c r="B35" s="70"/>
      <c r="C35" s="62" t="s">
        <v>413</v>
      </c>
      <c r="D35" s="210"/>
      <c r="E35" s="217"/>
      <c r="F35" s="285">
        <f>$D$33*$D$34*F11</f>
        <v>0</v>
      </c>
      <c r="G35" s="285">
        <f t="shared" ref="G35:AC35" si="1">$D$33*$D$34*G11</f>
        <v>0</v>
      </c>
      <c r="H35" s="285">
        <f t="shared" si="1"/>
        <v>0</v>
      </c>
      <c r="I35" s="285">
        <f t="shared" si="1"/>
        <v>0</v>
      </c>
      <c r="J35" s="285">
        <f t="shared" si="1"/>
        <v>0</v>
      </c>
      <c r="K35" s="285">
        <f t="shared" si="1"/>
        <v>0</v>
      </c>
      <c r="L35" s="285">
        <f t="shared" si="1"/>
        <v>0</v>
      </c>
      <c r="M35" s="285">
        <f t="shared" si="1"/>
        <v>0</v>
      </c>
      <c r="N35" s="285">
        <f t="shared" si="1"/>
        <v>0</v>
      </c>
      <c r="O35" s="285">
        <f t="shared" si="1"/>
        <v>0</v>
      </c>
      <c r="P35" s="285">
        <f t="shared" si="1"/>
        <v>0</v>
      </c>
      <c r="Q35" s="285">
        <f t="shared" si="1"/>
        <v>0</v>
      </c>
      <c r="R35" s="285">
        <f t="shared" si="1"/>
        <v>0</v>
      </c>
      <c r="S35" s="285">
        <f t="shared" si="1"/>
        <v>0</v>
      </c>
      <c r="T35" s="285">
        <f t="shared" si="1"/>
        <v>0</v>
      </c>
      <c r="U35" s="285">
        <f t="shared" si="1"/>
        <v>0</v>
      </c>
      <c r="V35" s="285">
        <f t="shared" si="1"/>
        <v>0</v>
      </c>
      <c r="W35" s="285">
        <f t="shared" si="1"/>
        <v>0</v>
      </c>
      <c r="X35" s="285">
        <f t="shared" si="1"/>
        <v>0</v>
      </c>
      <c r="Y35" s="285">
        <f t="shared" si="1"/>
        <v>0</v>
      </c>
      <c r="Z35" s="285">
        <f t="shared" si="1"/>
        <v>0</v>
      </c>
      <c r="AA35" s="285">
        <f t="shared" si="1"/>
        <v>0</v>
      </c>
      <c r="AB35" s="285">
        <f t="shared" si="1"/>
        <v>0</v>
      </c>
      <c r="AC35" s="286">
        <f t="shared" si="1"/>
        <v>0</v>
      </c>
      <c r="AD35" s="507">
        <f t="shared" si="0"/>
        <v>0</v>
      </c>
    </row>
    <row r="36" spans="1:30" s="53" customFormat="1" ht="12">
      <c r="A36" s="44"/>
      <c r="B36" s="70"/>
      <c r="D36" s="210"/>
      <c r="E36" s="217"/>
      <c r="F36" s="45"/>
      <c r="G36" s="59"/>
      <c r="H36" s="59"/>
      <c r="I36" s="59"/>
      <c r="J36" s="59"/>
      <c r="K36" s="59"/>
      <c r="L36" s="59"/>
      <c r="M36" s="59"/>
      <c r="N36" s="59"/>
      <c r="O36" s="59"/>
      <c r="P36" s="59"/>
      <c r="Q36" s="59"/>
      <c r="R36" s="59"/>
      <c r="S36" s="59"/>
      <c r="T36" s="59"/>
      <c r="U36" s="59"/>
      <c r="V36" s="59"/>
      <c r="W36" s="59"/>
      <c r="X36" s="59"/>
      <c r="Y36" s="59"/>
      <c r="AC36" s="263"/>
      <c r="AD36" s="507"/>
    </row>
    <row r="37" spans="1:30" s="53" customFormat="1" ht="12">
      <c r="A37" s="44"/>
      <c r="B37" s="70"/>
      <c r="D37" s="210"/>
      <c r="E37" s="217"/>
      <c r="F37" s="45"/>
      <c r="G37" s="59"/>
      <c r="H37" s="59"/>
      <c r="I37" s="59"/>
      <c r="J37" s="59"/>
      <c r="K37" s="59"/>
      <c r="L37" s="59"/>
      <c r="M37" s="59"/>
      <c r="N37" s="59"/>
      <c r="O37" s="59"/>
      <c r="P37" s="59"/>
      <c r="Q37" s="59"/>
      <c r="R37" s="59"/>
      <c r="S37" s="59"/>
      <c r="T37" s="59"/>
      <c r="U37" s="59"/>
      <c r="V37" s="59"/>
      <c r="W37" s="59"/>
      <c r="X37" s="59"/>
      <c r="Y37" s="59"/>
      <c r="AC37" s="263"/>
      <c r="AD37" s="507"/>
    </row>
    <row r="38" spans="1:30" s="53" customFormat="1" ht="12">
      <c r="A38" s="44"/>
      <c r="B38" s="250" t="s">
        <v>446</v>
      </c>
      <c r="C38" s="54" t="s">
        <v>410</v>
      </c>
      <c r="D38" s="210"/>
      <c r="E38" s="217"/>
      <c r="F38" s="45">
        <f>F12</f>
        <v>0</v>
      </c>
      <c r="G38" s="45">
        <f t="shared" ref="G38:AC38" si="2">G12</f>
        <v>0</v>
      </c>
      <c r="H38" s="45">
        <f t="shared" si="2"/>
        <v>1662.5</v>
      </c>
      <c r="I38" s="244">
        <f t="shared" si="2"/>
        <v>1828.75</v>
      </c>
      <c r="J38" s="244">
        <f t="shared" si="2"/>
        <v>1998.3249999999998</v>
      </c>
      <c r="K38" s="244">
        <f t="shared" si="2"/>
        <v>2171.2914999999998</v>
      </c>
      <c r="L38" s="244">
        <f t="shared" si="2"/>
        <v>2347.7173299999999</v>
      </c>
      <c r="M38" s="244">
        <f t="shared" si="2"/>
        <v>2527.6716766000004</v>
      </c>
      <c r="N38" s="244">
        <f t="shared" si="2"/>
        <v>2711.2251101320021</v>
      </c>
      <c r="O38" s="244">
        <f t="shared" si="2"/>
        <v>2898.4496123346403</v>
      </c>
      <c r="P38" s="244">
        <f t="shared" si="2"/>
        <v>3089.4186045813349</v>
      </c>
      <c r="Q38" s="244">
        <f t="shared" si="2"/>
        <v>3284.2069766729619</v>
      </c>
      <c r="R38" s="244">
        <f t="shared" si="2"/>
        <v>3482.8911162064205</v>
      </c>
      <c r="S38" s="244">
        <f t="shared" si="2"/>
        <v>3685.5489385305473</v>
      </c>
      <c r="T38" s="244">
        <f t="shared" si="2"/>
        <v>3892.2599173011599</v>
      </c>
      <c r="U38" s="244">
        <f t="shared" si="2"/>
        <v>4103.1051156471831</v>
      </c>
      <c r="V38" s="244">
        <f t="shared" si="2"/>
        <v>4318.1672179601264</v>
      </c>
      <c r="W38" s="244">
        <f t="shared" si="2"/>
        <v>4537.5305623193308</v>
      </c>
      <c r="X38" s="244">
        <f t="shared" si="2"/>
        <v>4761.281173565716</v>
      </c>
      <c r="Y38" s="244">
        <f t="shared" si="2"/>
        <v>4989.5067970370319</v>
      </c>
      <c r="Z38" s="244">
        <f t="shared" si="2"/>
        <v>5222.2969329777725</v>
      </c>
      <c r="AA38" s="244">
        <f t="shared" si="2"/>
        <v>5459.7428716373261</v>
      </c>
      <c r="AB38" s="244">
        <f t="shared" si="2"/>
        <v>5701.937729070075</v>
      </c>
      <c r="AC38" s="265">
        <f t="shared" si="2"/>
        <v>5948.9764836514769</v>
      </c>
      <c r="AD38" s="507">
        <f t="shared" si="0"/>
        <v>80622.800666225099</v>
      </c>
    </row>
    <row r="39" spans="1:30" s="53" customFormat="1" ht="12">
      <c r="A39" s="44"/>
      <c r="B39" s="70"/>
      <c r="C39" s="63" t="s">
        <v>131</v>
      </c>
      <c r="D39" s="210"/>
      <c r="E39" s="217"/>
      <c r="F39" s="45"/>
      <c r="G39" s="293"/>
      <c r="H39" s="293"/>
      <c r="I39" s="293"/>
      <c r="J39" s="293"/>
      <c r="K39" s="293"/>
      <c r="L39" s="293"/>
      <c r="M39" s="293"/>
      <c r="N39" s="293"/>
      <c r="O39" s="293"/>
      <c r="P39" s="293"/>
      <c r="Q39" s="293"/>
      <c r="R39" s="293"/>
      <c r="S39" s="293"/>
      <c r="T39" s="293"/>
      <c r="U39" s="293"/>
      <c r="V39" s="293"/>
      <c r="W39" s="293"/>
      <c r="X39" s="293"/>
      <c r="Y39" s="293"/>
      <c r="Z39" s="45"/>
      <c r="AA39" s="45"/>
      <c r="AB39" s="45"/>
      <c r="AC39" s="263"/>
      <c r="AD39" s="507"/>
    </row>
    <row r="40" spans="1:30" s="53" customFormat="1" ht="12">
      <c r="A40" s="44"/>
      <c r="B40" s="70"/>
      <c r="C40" s="224" t="s">
        <v>387</v>
      </c>
      <c r="D40" s="210" t="s">
        <v>601</v>
      </c>
      <c r="E40" s="217"/>
      <c r="F40" s="298">
        <f>'Mode Operating Assumptions'!D38</f>
        <v>0.70946273121616577</v>
      </c>
      <c r="G40" s="298">
        <f>'Mode Operating Assumptions'!E38</f>
        <v>0.71059621821482899</v>
      </c>
      <c r="H40" s="298">
        <f>'Mode Operating Assumptions'!F38</f>
        <v>0.71173381657727475</v>
      </c>
      <c r="I40" s="298">
        <f>'Mode Operating Assumptions'!G38</f>
        <v>0.71287554871314296</v>
      </c>
      <c r="J40" s="298">
        <f>'Mode Operating Assumptions'!H38</f>
        <v>0.7140214371952327</v>
      </c>
      <c r="K40" s="298">
        <f>'Mode Operating Assumptions'!I38</f>
        <v>0.71517150476099045</v>
      </c>
      <c r="L40" s="298">
        <f>'Mode Operating Assumptions'!J38</f>
        <v>0.71632577431401367</v>
      </c>
      <c r="M40" s="298">
        <f>'Mode Operating Assumptions'!K38</f>
        <v>0.71748426892557116</v>
      </c>
      <c r="N40" s="298">
        <f>'Mode Operating Assumptions'!L38</f>
        <v>0.71864701183614055</v>
      </c>
      <c r="O40" s="298">
        <f>'Mode Operating Assumptions'!M38</f>
        <v>0.71981402645696213</v>
      </c>
      <c r="P40" s="298">
        <f>'Mode Operating Assumptions'!N38</f>
        <v>0.72098533637161</v>
      </c>
      <c r="Q40" s="298">
        <f>'Mode Operating Assumptions'!O38</f>
        <v>0.72216096533758134</v>
      </c>
      <c r="R40" s="298">
        <f>'Mode Operating Assumptions'!P38</f>
        <v>0.72334093728790194</v>
      </c>
      <c r="S40" s="298">
        <f>'Mode Operating Assumptions'!Q38</f>
        <v>0.72452527633275055</v>
      </c>
      <c r="T40" s="298">
        <f>'Mode Operating Assumptions'!R38</f>
        <v>0.72571400676110143</v>
      </c>
      <c r="U40" s="298">
        <f>'Mode Operating Assumptions'!S38</f>
        <v>0.72690715304238396</v>
      </c>
      <c r="V40" s="298">
        <f>'Mode Operating Assumptions'!T38</f>
        <v>0.72810473982816259</v>
      </c>
      <c r="W40" s="298">
        <f>'Mode Operating Assumptions'!U38</f>
        <v>0.72930679195383386</v>
      </c>
      <c r="X40" s="298">
        <f>'Mode Operating Assumptions'!V38</f>
        <v>0.7305133344403435</v>
      </c>
      <c r="Y40" s="298">
        <f>'Mode Operating Assumptions'!W38</f>
        <v>0.73172439249592258</v>
      </c>
      <c r="Z40" s="298">
        <f>'Mode Operating Assumptions'!X38</f>
        <v>0.73293999151784295</v>
      </c>
      <c r="AA40" s="298">
        <f>'Mode Operating Assumptions'!Y38</f>
        <v>0.73416015709419302</v>
      </c>
      <c r="AB40" s="298">
        <f>'Mode Operating Assumptions'!Z38</f>
        <v>0.73538491500567238</v>
      </c>
      <c r="AC40" s="301">
        <f>'Mode Operating Assumptions'!AA38</f>
        <v>0.7366142912274084</v>
      </c>
      <c r="AD40" s="507">
        <f t="shared" si="0"/>
        <v>17.348514626907033</v>
      </c>
    </row>
    <row r="41" spans="1:30" s="53" customFormat="1" ht="12">
      <c r="A41" s="44"/>
      <c r="B41" s="70"/>
      <c r="C41" s="224" t="s">
        <v>404</v>
      </c>
      <c r="D41" s="248">
        <f>'Mode Operating Assumptions'!C161</f>
        <v>0.65476190476190477</v>
      </c>
      <c r="E41" s="217"/>
      <c r="F41" s="45"/>
      <c r="G41" s="293"/>
      <c r="H41" s="293"/>
      <c r="I41" s="293"/>
      <c r="J41" s="293"/>
      <c r="K41" s="293"/>
      <c r="L41" s="293"/>
      <c r="M41" s="293"/>
      <c r="N41" s="293"/>
      <c r="O41" s="293"/>
      <c r="P41" s="293"/>
      <c r="Q41" s="293"/>
      <c r="R41" s="293"/>
      <c r="S41" s="293"/>
      <c r="T41" s="293"/>
      <c r="U41" s="293"/>
      <c r="V41" s="293"/>
      <c r="W41" s="293"/>
      <c r="X41" s="293"/>
      <c r="Y41" s="293"/>
      <c r="Z41" s="45"/>
      <c r="AA41" s="45"/>
      <c r="AB41" s="45"/>
      <c r="AC41" s="263"/>
      <c r="AD41" s="360"/>
    </row>
    <row r="42" spans="1:30" s="53" customFormat="1" ht="12">
      <c r="A42" s="44"/>
      <c r="B42" s="70"/>
      <c r="C42" s="224" t="s">
        <v>423</v>
      </c>
      <c r="D42" s="210">
        <f>'Mode Operating Assumptions'!C102</f>
        <v>0.17899999999999999</v>
      </c>
      <c r="E42" s="217"/>
      <c r="F42" s="45"/>
      <c r="G42" s="293"/>
      <c r="H42" s="293"/>
      <c r="I42" s="293"/>
      <c r="J42" s="293"/>
      <c r="K42" s="293"/>
      <c r="L42" s="293"/>
      <c r="M42" s="293"/>
      <c r="N42" s="293"/>
      <c r="O42" s="293"/>
      <c r="P42" s="293"/>
      <c r="Q42" s="293"/>
      <c r="R42" s="293"/>
      <c r="S42" s="293"/>
      <c r="T42" s="293"/>
      <c r="U42" s="293"/>
      <c r="V42" s="293"/>
      <c r="W42" s="293"/>
      <c r="X42" s="293"/>
      <c r="Y42" s="293"/>
      <c r="Z42" s="45"/>
      <c r="AA42" s="45"/>
      <c r="AB42" s="45"/>
      <c r="AC42" s="263"/>
      <c r="AD42" s="360"/>
    </row>
    <row r="43" spans="1:30" s="53" customFormat="1" ht="12">
      <c r="A43" s="44"/>
      <c r="B43" s="70"/>
      <c r="C43" s="224" t="s">
        <v>384</v>
      </c>
      <c r="D43" s="253">
        <f>'Mode Operating Assumptions'!C39</f>
        <v>12.5</v>
      </c>
      <c r="E43" s="217"/>
      <c r="F43" s="45"/>
      <c r="G43" s="293"/>
      <c r="H43" s="293"/>
      <c r="I43" s="293"/>
      <c r="J43" s="293"/>
      <c r="K43" s="293"/>
      <c r="L43" s="293"/>
      <c r="M43" s="293"/>
      <c r="N43" s="293"/>
      <c r="O43" s="293"/>
      <c r="P43" s="293"/>
      <c r="Q43" s="293"/>
      <c r="R43" s="293"/>
      <c r="S43" s="293"/>
      <c r="T43" s="293"/>
      <c r="U43" s="293"/>
      <c r="V43" s="293"/>
      <c r="W43" s="293"/>
      <c r="X43" s="293"/>
      <c r="Y43" s="293"/>
      <c r="Z43" s="45"/>
      <c r="AA43" s="45"/>
      <c r="AB43" s="45"/>
      <c r="AC43" s="263"/>
      <c r="AD43" s="360"/>
    </row>
    <row r="44" spans="1:30" s="53" customFormat="1" ht="12">
      <c r="A44" s="44"/>
      <c r="B44" s="70"/>
      <c r="C44" s="224" t="s">
        <v>385</v>
      </c>
      <c r="D44" s="253">
        <f>'Mode Operating Assumptions'!C162</f>
        <v>12.5</v>
      </c>
      <c r="E44" s="217"/>
      <c r="F44" s="45"/>
      <c r="G44" s="293"/>
      <c r="H44" s="293"/>
      <c r="I44" s="293"/>
      <c r="J44" s="293"/>
      <c r="K44" s="293"/>
      <c r="L44" s="293"/>
      <c r="M44" s="293"/>
      <c r="N44" s="293"/>
      <c r="O44" s="293"/>
      <c r="P44" s="293"/>
      <c r="Q44" s="293"/>
      <c r="R44" s="293"/>
      <c r="S44" s="293"/>
      <c r="T44" s="293"/>
      <c r="U44" s="293"/>
      <c r="V44" s="293"/>
      <c r="W44" s="293"/>
      <c r="X44" s="293"/>
      <c r="Y44" s="293"/>
      <c r="Z44" s="45"/>
      <c r="AA44" s="45"/>
      <c r="AB44" s="45"/>
      <c r="AC44" s="263"/>
      <c r="AD44" s="360"/>
    </row>
    <row r="45" spans="1:30" s="53" customFormat="1" ht="12">
      <c r="A45" s="44"/>
      <c r="B45" s="70"/>
      <c r="C45" s="224" t="s">
        <v>422</v>
      </c>
      <c r="D45" s="253">
        <f>'Mode Operating Assumptions'!C103</f>
        <v>12.5</v>
      </c>
      <c r="E45" s="217"/>
      <c r="F45" s="45"/>
      <c r="G45" s="293"/>
      <c r="H45" s="293"/>
      <c r="I45" s="293"/>
      <c r="J45" s="293"/>
      <c r="K45" s="293"/>
      <c r="L45" s="293"/>
      <c r="M45" s="293"/>
      <c r="N45" s="293"/>
      <c r="O45" s="293"/>
      <c r="P45" s="293"/>
      <c r="Q45" s="293"/>
      <c r="R45" s="293"/>
      <c r="S45" s="293"/>
      <c r="T45" s="293"/>
      <c r="U45" s="293"/>
      <c r="V45" s="293"/>
      <c r="W45" s="293"/>
      <c r="X45" s="293"/>
      <c r="Y45" s="293"/>
      <c r="Z45" s="45"/>
      <c r="AA45" s="45"/>
      <c r="AB45" s="45"/>
      <c r="AC45" s="263"/>
      <c r="AD45" s="360"/>
    </row>
    <row r="46" spans="1:30" s="53" customFormat="1" ht="12">
      <c r="A46" s="44"/>
      <c r="B46" s="70"/>
      <c r="C46" s="78" t="s">
        <v>424</v>
      </c>
      <c r="D46" s="210"/>
      <c r="E46" s="217"/>
      <c r="F46" s="255">
        <f>+(F40*$D$43)-($D$41*$D$44)-($D$42*$D$45)</f>
        <v>-1.5537396693217387</v>
      </c>
      <c r="G46" s="255">
        <f t="shared" ref="G46:AC46" si="3">+(G40*$D$43)-($D$41*$D$44)-($D$42*$D$45)</f>
        <v>-1.5395710818384485</v>
      </c>
      <c r="H46" s="255">
        <f t="shared" si="3"/>
        <v>-1.5253511023078756</v>
      </c>
      <c r="I46" s="255">
        <f t="shared" si="3"/>
        <v>-1.5110794506095226</v>
      </c>
      <c r="J46" s="255">
        <f t="shared" si="3"/>
        <v>-1.4967558445834017</v>
      </c>
      <c r="K46" s="255">
        <f t="shared" si="3"/>
        <v>-1.4823800000114291</v>
      </c>
      <c r="L46" s="255">
        <f t="shared" si="3"/>
        <v>-1.4679516305986384</v>
      </c>
      <c r="M46" s="255">
        <f t="shared" si="3"/>
        <v>-1.45347044795417</v>
      </c>
      <c r="N46" s="255">
        <f t="shared" si="3"/>
        <v>-1.4389361615720526</v>
      </c>
      <c r="O46" s="255">
        <f t="shared" si="3"/>
        <v>-1.4243484788117842</v>
      </c>
      <c r="P46" s="255">
        <f t="shared" si="3"/>
        <v>-1.4097071048786853</v>
      </c>
      <c r="Q46" s="255">
        <f t="shared" si="3"/>
        <v>-1.3950117428040434</v>
      </c>
      <c r="R46" s="255">
        <f t="shared" si="3"/>
        <v>-1.3802620934250358</v>
      </c>
      <c r="S46" s="255">
        <f t="shared" si="3"/>
        <v>-1.3654578553644283</v>
      </c>
      <c r="T46" s="255">
        <f t="shared" si="3"/>
        <v>-1.350598725010042</v>
      </c>
      <c r="U46" s="255">
        <f t="shared" si="3"/>
        <v>-1.3356843964940106</v>
      </c>
      <c r="V46" s="255">
        <f t="shared" si="3"/>
        <v>-1.3207145616717773</v>
      </c>
      <c r="W46" s="255">
        <f t="shared" si="3"/>
        <v>-1.3056889101008862</v>
      </c>
      <c r="X46" s="255">
        <f t="shared" si="3"/>
        <v>-1.2906071290195156</v>
      </c>
      <c r="Y46" s="255">
        <f t="shared" si="3"/>
        <v>-1.2754689033247777</v>
      </c>
      <c r="Z46" s="255">
        <f t="shared" si="3"/>
        <v>-1.2602739155507736</v>
      </c>
      <c r="AA46" s="255">
        <f t="shared" si="3"/>
        <v>-1.2450218458463977</v>
      </c>
      <c r="AB46" s="255">
        <f t="shared" si="3"/>
        <v>-1.2297123719529059</v>
      </c>
      <c r="AC46" s="268">
        <f t="shared" si="3"/>
        <v>-1.2143451691812048</v>
      </c>
      <c r="AD46" s="360">
        <f t="shared" si="0"/>
        <v>-33.272138592233546</v>
      </c>
    </row>
    <row r="47" spans="1:30">
      <c r="C47" s="225" t="s">
        <v>527</v>
      </c>
      <c r="D47" s="210"/>
      <c r="E47" s="217"/>
      <c r="F47" s="233">
        <f>F46*F38</f>
        <v>0</v>
      </c>
      <c r="G47" s="233">
        <f t="shared" ref="G47:AC47" si="4">G46*G38</f>
        <v>0</v>
      </c>
      <c r="H47" s="233">
        <f t="shared" si="4"/>
        <v>-2535.896207586843</v>
      </c>
      <c r="I47" s="233">
        <f t="shared" si="4"/>
        <v>-2763.3865453021644</v>
      </c>
      <c r="J47" s="233">
        <f t="shared" si="4"/>
        <v>-2991.0046231271258</v>
      </c>
      <c r="K47" s="233">
        <f t="shared" si="4"/>
        <v>-3218.6790937948158</v>
      </c>
      <c r="L47" s="233">
        <f t="shared" si="4"/>
        <v>-3446.3354827581816</v>
      </c>
      <c r="M47" s="233">
        <f t="shared" si="4"/>
        <v>-3673.8960840688706</v>
      </c>
      <c r="N47" s="233">
        <f t="shared" si="4"/>
        <v>-3901.2798531311087</v>
      </c>
      <c r="O47" s="233">
        <f t="shared" si="4"/>
        <v>-4128.4022962414501</v>
      </c>
      <c r="P47" s="233">
        <f t="shared" si="4"/>
        <v>-4355.1753568227014</v>
      </c>
      <c r="Q47" s="233">
        <f t="shared" si="4"/>
        <v>-4581.5072982577467</v>
      </c>
      <c r="R47" s="233">
        <f t="shared" si="4"/>
        <v>-4807.3025832265339</v>
      </c>
      <c r="S47" s="233">
        <f t="shared" si="4"/>
        <v>-5032.4617494465665</v>
      </c>
      <c r="T47" s="233">
        <f t="shared" si="4"/>
        <v>-5256.8812817146381</v>
      </c>
      <c r="U47" s="233">
        <f t="shared" si="4"/>
        <v>-5480.4534801446953</v>
      </c>
      <c r="V47" s="233">
        <f t="shared" si="4"/>
        <v>-5703.0663244936459</v>
      </c>
      <c r="W47" s="233">
        <f t="shared" si="4"/>
        <v>-5924.6033344641883</v>
      </c>
      <c r="X47" s="233">
        <f t="shared" si="4"/>
        <v>-6144.9434258703186</v>
      </c>
      <c r="Y47" s="233">
        <f t="shared" si="4"/>
        <v>-6363.9607625483468</v>
      </c>
      <c r="Z47" s="233">
        <f t="shared" si="4"/>
        <v>-6581.5246038926934</v>
      </c>
      <c r="AA47" s="233">
        <f t="shared" si="4"/>
        <v>-6797.4991478926158</v>
      </c>
      <c r="AB47" s="233">
        <f t="shared" si="4"/>
        <v>-7011.7433695425279</v>
      </c>
      <c r="AC47" s="266">
        <f t="shared" si="4"/>
        <v>-7224.110854494762</v>
      </c>
      <c r="AD47" s="360">
        <f t="shared" si="0"/>
        <v>-107924.11375882252</v>
      </c>
    </row>
    <row r="48" spans="1:30" s="53" customFormat="1" ht="12">
      <c r="A48" s="44"/>
      <c r="B48" s="70"/>
      <c r="C48" s="62" t="s">
        <v>413</v>
      </c>
      <c r="D48" s="210"/>
      <c r="E48" s="217"/>
      <c r="F48" s="285">
        <f>F47</f>
        <v>0</v>
      </c>
      <c r="G48" s="285">
        <f t="shared" ref="G48:AC48" si="5">G47</f>
        <v>0</v>
      </c>
      <c r="H48" s="285">
        <f t="shared" si="5"/>
        <v>-2535.896207586843</v>
      </c>
      <c r="I48" s="285">
        <f t="shared" si="5"/>
        <v>-2763.3865453021644</v>
      </c>
      <c r="J48" s="285">
        <f t="shared" si="5"/>
        <v>-2991.0046231271258</v>
      </c>
      <c r="K48" s="285">
        <f t="shared" si="5"/>
        <v>-3218.6790937948158</v>
      </c>
      <c r="L48" s="285">
        <f t="shared" si="5"/>
        <v>-3446.3354827581816</v>
      </c>
      <c r="M48" s="285">
        <f t="shared" si="5"/>
        <v>-3673.8960840688706</v>
      </c>
      <c r="N48" s="285">
        <f t="shared" si="5"/>
        <v>-3901.2798531311087</v>
      </c>
      <c r="O48" s="285">
        <f t="shared" si="5"/>
        <v>-4128.4022962414501</v>
      </c>
      <c r="P48" s="285">
        <f t="shared" si="5"/>
        <v>-4355.1753568227014</v>
      </c>
      <c r="Q48" s="285">
        <f t="shared" si="5"/>
        <v>-4581.5072982577467</v>
      </c>
      <c r="R48" s="285">
        <f t="shared" si="5"/>
        <v>-4807.3025832265339</v>
      </c>
      <c r="S48" s="285">
        <f t="shared" si="5"/>
        <v>-5032.4617494465665</v>
      </c>
      <c r="T48" s="285">
        <f t="shared" si="5"/>
        <v>-5256.8812817146381</v>
      </c>
      <c r="U48" s="285">
        <f t="shared" si="5"/>
        <v>-5480.4534801446953</v>
      </c>
      <c r="V48" s="285">
        <f t="shared" si="5"/>
        <v>-5703.0663244936459</v>
      </c>
      <c r="W48" s="285">
        <f t="shared" si="5"/>
        <v>-5924.6033344641883</v>
      </c>
      <c r="X48" s="285">
        <f t="shared" si="5"/>
        <v>-6144.9434258703186</v>
      </c>
      <c r="Y48" s="285">
        <f t="shared" si="5"/>
        <v>-6363.9607625483468</v>
      </c>
      <c r="Z48" s="285">
        <f t="shared" si="5"/>
        <v>-6581.5246038926934</v>
      </c>
      <c r="AA48" s="285">
        <f t="shared" si="5"/>
        <v>-6797.4991478926158</v>
      </c>
      <c r="AB48" s="285">
        <f t="shared" si="5"/>
        <v>-7011.7433695425279</v>
      </c>
      <c r="AC48" s="286">
        <f t="shared" si="5"/>
        <v>-7224.110854494762</v>
      </c>
      <c r="AD48" s="347">
        <f t="shared" si="0"/>
        <v>-107924.11375882252</v>
      </c>
    </row>
    <row r="49" spans="1:30" s="53" customFormat="1" ht="12">
      <c r="A49" s="44"/>
      <c r="B49" s="70"/>
      <c r="C49" s="62"/>
      <c r="D49" s="210"/>
      <c r="E49" s="217"/>
      <c r="F49" s="45"/>
      <c r="G49" s="59"/>
      <c r="H49" s="59"/>
      <c r="I49" s="59"/>
      <c r="J49" s="59"/>
      <c r="K49" s="59"/>
      <c r="L49" s="59"/>
      <c r="M49" s="59"/>
      <c r="N49" s="59"/>
      <c r="O49" s="59"/>
      <c r="P49" s="59"/>
      <c r="Q49" s="59"/>
      <c r="R49" s="59"/>
      <c r="S49" s="59"/>
      <c r="T49" s="59"/>
      <c r="U49" s="59"/>
      <c r="V49" s="59"/>
      <c r="W49" s="59"/>
      <c r="X49" s="59"/>
      <c r="Y49" s="59"/>
      <c r="AC49" s="263"/>
      <c r="AD49" s="360"/>
    </row>
    <row r="50" spans="1:30" s="53" customFormat="1" ht="12">
      <c r="A50" s="44"/>
      <c r="B50" s="70"/>
      <c r="C50" s="63" t="s">
        <v>149</v>
      </c>
      <c r="D50" s="210"/>
      <c r="E50" s="217"/>
      <c r="F50" s="45"/>
      <c r="G50" s="59"/>
      <c r="H50" s="59"/>
      <c r="I50" s="59"/>
      <c r="J50" s="59"/>
      <c r="K50" s="59"/>
      <c r="L50" s="59"/>
      <c r="M50" s="59"/>
      <c r="N50" s="59"/>
      <c r="O50" s="59"/>
      <c r="P50" s="59"/>
      <c r="Q50" s="59"/>
      <c r="R50" s="59"/>
      <c r="S50" s="59"/>
      <c r="T50" s="59"/>
      <c r="U50" s="59"/>
      <c r="V50" s="59"/>
      <c r="W50" s="59"/>
      <c r="X50" s="59"/>
      <c r="Y50" s="59"/>
      <c r="AC50" s="263"/>
      <c r="AD50" s="360"/>
    </row>
    <row r="51" spans="1:30" s="53" customFormat="1" ht="12">
      <c r="A51" s="44"/>
      <c r="B51" s="70"/>
      <c r="C51" s="224" t="s">
        <v>430</v>
      </c>
      <c r="D51" s="253">
        <f>'Mode Operating Assumptions'!C42</f>
        <v>14.425000000000001</v>
      </c>
      <c r="E51" s="217"/>
      <c r="F51" s="45"/>
      <c r="G51" s="59"/>
      <c r="H51" s="59"/>
      <c r="I51" s="59"/>
      <c r="J51" s="59"/>
      <c r="K51" s="59"/>
      <c r="L51" s="59"/>
      <c r="M51" s="59"/>
      <c r="N51" s="59"/>
      <c r="O51" s="59"/>
      <c r="P51" s="59"/>
      <c r="Q51" s="59"/>
      <c r="R51" s="59"/>
      <c r="S51" s="59"/>
      <c r="T51" s="59"/>
      <c r="U51" s="59"/>
      <c r="V51" s="59"/>
      <c r="W51" s="59"/>
      <c r="X51" s="59"/>
      <c r="Y51" s="59"/>
      <c r="AC51" s="263"/>
      <c r="AD51" s="360"/>
    </row>
    <row r="52" spans="1:30" s="53" customFormat="1" ht="12">
      <c r="A52" s="44"/>
      <c r="B52" s="70"/>
      <c r="C52" s="225" t="s">
        <v>386</v>
      </c>
      <c r="D52" s="253">
        <f>'Mode Operating Assumptions'!C164</f>
        <v>5.6070051072443761</v>
      </c>
      <c r="E52" s="217"/>
      <c r="F52" s="45"/>
      <c r="G52" s="59"/>
      <c r="H52" s="59"/>
      <c r="I52" s="59"/>
      <c r="J52" s="59"/>
      <c r="K52" s="59"/>
      <c r="L52" s="59"/>
      <c r="M52" s="59"/>
      <c r="N52" s="59"/>
      <c r="O52" s="59"/>
      <c r="P52" s="59"/>
      <c r="Q52" s="59"/>
      <c r="R52" s="59"/>
      <c r="S52" s="59"/>
      <c r="T52" s="59"/>
      <c r="U52" s="59"/>
      <c r="V52" s="59"/>
      <c r="W52" s="59"/>
      <c r="X52" s="59"/>
      <c r="Y52" s="59"/>
      <c r="AC52" s="263"/>
      <c r="AD52" s="360"/>
    </row>
    <row r="53" spans="1:30" s="53" customFormat="1" ht="12">
      <c r="A53" s="44"/>
      <c r="B53" s="70"/>
      <c r="C53" s="225" t="s">
        <v>398</v>
      </c>
      <c r="D53" s="253">
        <v>0.1</v>
      </c>
      <c r="E53" s="217"/>
      <c r="F53" s="45"/>
      <c r="G53" s="59"/>
      <c r="H53" s="59"/>
      <c r="I53" s="59"/>
      <c r="J53" s="59"/>
      <c r="K53" s="59"/>
      <c r="L53" s="59"/>
      <c r="M53" s="59"/>
      <c r="N53" s="59"/>
      <c r="O53" s="59"/>
      <c r="P53" s="59"/>
      <c r="Q53" s="59"/>
      <c r="R53" s="59"/>
      <c r="S53" s="59"/>
      <c r="T53" s="59"/>
      <c r="U53" s="59"/>
      <c r="V53" s="59"/>
      <c r="W53" s="59"/>
      <c r="X53" s="59"/>
      <c r="Y53" s="59"/>
      <c r="AC53" s="263"/>
      <c r="AD53" s="360"/>
    </row>
    <row r="54" spans="1:30" s="53" customFormat="1" ht="12">
      <c r="A54" s="44"/>
      <c r="B54" s="70"/>
      <c r="C54" s="78" t="s">
        <v>425</v>
      </c>
      <c r="D54" s="253">
        <f>+D51-D52-D53</f>
        <v>8.717994892755625</v>
      </c>
      <c r="E54" s="217"/>
      <c r="F54" s="233">
        <f t="shared" ref="F54:AC54" si="6">$D54*F38</f>
        <v>0</v>
      </c>
      <c r="G54" s="233">
        <f t="shared" si="6"/>
        <v>0</v>
      </c>
      <c r="H54" s="233">
        <f>$D54*H38</f>
        <v>14493.666509206227</v>
      </c>
      <c r="I54" s="233">
        <f t="shared" si="6"/>
        <v>15943.03316012685</v>
      </c>
      <c r="J54" s="233">
        <f t="shared" si="6"/>
        <v>17421.387144065884</v>
      </c>
      <c r="K54" s="233">
        <f t="shared" si="6"/>
        <v>18929.308207683698</v>
      </c>
      <c r="L54" s="233">
        <f t="shared" si="6"/>
        <v>20467.387692573873</v>
      </c>
      <c r="M54" s="233">
        <f t="shared" si="6"/>
        <v>22036.228767161851</v>
      </c>
      <c r="N54" s="233">
        <f t="shared" si="6"/>
        <v>23636.446663241601</v>
      </c>
      <c r="O54" s="233">
        <f t="shared" si="6"/>
        <v>25268.668917242914</v>
      </c>
      <c r="P54" s="233">
        <f t="shared" si="6"/>
        <v>26933.535616324287</v>
      </c>
      <c r="Q54" s="233">
        <f t="shared" si="6"/>
        <v>28631.699649387276</v>
      </c>
      <c r="R54" s="233">
        <f t="shared" si="6"/>
        <v>30363.826963111511</v>
      </c>
      <c r="S54" s="233">
        <f t="shared" si="6"/>
        <v>32130.596823110227</v>
      </c>
      <c r="T54" s="233">
        <f t="shared" si="6"/>
        <v>33932.702080308947</v>
      </c>
      <c r="U54" s="233">
        <f t="shared" si="6"/>
        <v>35770.849442651619</v>
      </c>
      <c r="V54" s="233">
        <f t="shared" si="6"/>
        <v>37645.759752241145</v>
      </c>
      <c r="W54" s="233">
        <f t="shared" si="6"/>
        <v>39558.168268022484</v>
      </c>
      <c r="X54" s="233">
        <f t="shared" si="6"/>
        <v>41508.824954119424</v>
      </c>
      <c r="Y54" s="233">
        <f t="shared" si="6"/>
        <v>43498.494773938321</v>
      </c>
      <c r="Z54" s="233">
        <f t="shared" si="6"/>
        <v>45527.957990153584</v>
      </c>
      <c r="AA54" s="233">
        <f t="shared" si="6"/>
        <v>47598.010470693138</v>
      </c>
      <c r="AB54" s="233">
        <f t="shared" si="6"/>
        <v>49709.464000843524</v>
      </c>
      <c r="AC54" s="266">
        <f t="shared" si="6"/>
        <v>51863.146601596891</v>
      </c>
      <c r="AD54" s="360">
        <f t="shared" si="0"/>
        <v>702869.16444780515</v>
      </c>
    </row>
    <row r="55" spans="1:30" s="53" customFormat="1" ht="12">
      <c r="A55" s="44"/>
      <c r="C55" s="62" t="s">
        <v>414</v>
      </c>
      <c r="D55" s="210"/>
      <c r="E55" s="217"/>
      <c r="F55" s="285">
        <f>F54</f>
        <v>0</v>
      </c>
      <c r="G55" s="285">
        <f t="shared" ref="G55:AC55" si="7">G54</f>
        <v>0</v>
      </c>
      <c r="H55" s="285">
        <f t="shared" si="7"/>
        <v>14493.666509206227</v>
      </c>
      <c r="I55" s="285">
        <f t="shared" si="7"/>
        <v>15943.03316012685</v>
      </c>
      <c r="J55" s="285">
        <f t="shared" si="7"/>
        <v>17421.387144065884</v>
      </c>
      <c r="K55" s="285">
        <f t="shared" si="7"/>
        <v>18929.308207683698</v>
      </c>
      <c r="L55" s="285">
        <f t="shared" si="7"/>
        <v>20467.387692573873</v>
      </c>
      <c r="M55" s="285">
        <f t="shared" si="7"/>
        <v>22036.228767161851</v>
      </c>
      <c r="N55" s="285">
        <f t="shared" si="7"/>
        <v>23636.446663241601</v>
      </c>
      <c r="O55" s="285">
        <f t="shared" si="7"/>
        <v>25268.668917242914</v>
      </c>
      <c r="P55" s="285">
        <f t="shared" si="7"/>
        <v>26933.535616324287</v>
      </c>
      <c r="Q55" s="285">
        <f t="shared" si="7"/>
        <v>28631.699649387276</v>
      </c>
      <c r="R55" s="285">
        <f t="shared" si="7"/>
        <v>30363.826963111511</v>
      </c>
      <c r="S55" s="285">
        <f t="shared" si="7"/>
        <v>32130.596823110227</v>
      </c>
      <c r="T55" s="285">
        <f t="shared" si="7"/>
        <v>33932.702080308947</v>
      </c>
      <c r="U55" s="285">
        <f t="shared" si="7"/>
        <v>35770.849442651619</v>
      </c>
      <c r="V55" s="285">
        <f t="shared" si="7"/>
        <v>37645.759752241145</v>
      </c>
      <c r="W55" s="285">
        <f t="shared" si="7"/>
        <v>39558.168268022484</v>
      </c>
      <c r="X55" s="285">
        <f t="shared" si="7"/>
        <v>41508.824954119424</v>
      </c>
      <c r="Y55" s="285">
        <f t="shared" si="7"/>
        <v>43498.494773938321</v>
      </c>
      <c r="Z55" s="285">
        <f t="shared" si="7"/>
        <v>45527.957990153584</v>
      </c>
      <c r="AA55" s="285">
        <f t="shared" si="7"/>
        <v>47598.010470693138</v>
      </c>
      <c r="AB55" s="285">
        <f t="shared" si="7"/>
        <v>49709.464000843524</v>
      </c>
      <c r="AC55" s="286">
        <f t="shared" si="7"/>
        <v>51863.146601596891</v>
      </c>
      <c r="AD55" s="347">
        <f t="shared" si="0"/>
        <v>702869.16444780515</v>
      </c>
    </row>
    <row r="56" spans="1:30" s="53" customFormat="1" ht="12">
      <c r="A56" s="44"/>
      <c r="B56" s="70"/>
      <c r="D56" s="210"/>
      <c r="E56" s="217"/>
      <c r="F56" s="45"/>
      <c r="G56" s="59"/>
      <c r="H56" s="59"/>
      <c r="I56" s="59"/>
      <c r="J56" s="59"/>
      <c r="K56" s="59"/>
      <c r="L56" s="59"/>
      <c r="M56" s="59"/>
      <c r="N56" s="59"/>
      <c r="O56" s="59"/>
      <c r="P56" s="59"/>
      <c r="Q56" s="59"/>
      <c r="R56" s="59"/>
      <c r="S56" s="59"/>
      <c r="T56" s="59"/>
      <c r="U56" s="59"/>
      <c r="V56" s="59"/>
      <c r="W56" s="59"/>
      <c r="X56" s="59"/>
      <c r="Y56" s="59"/>
      <c r="AC56" s="263"/>
      <c r="AD56" s="360"/>
    </row>
    <row r="57" spans="1:30" s="53" customFormat="1" ht="12">
      <c r="A57" s="64" t="s">
        <v>343</v>
      </c>
      <c r="B57" s="64"/>
      <c r="D57" s="209"/>
      <c r="E57" s="217"/>
      <c r="F57" s="45"/>
      <c r="G57" s="57"/>
      <c r="AC57" s="263"/>
      <c r="AD57" s="360"/>
    </row>
    <row r="58" spans="1:30" s="53" customFormat="1" ht="12">
      <c r="A58" s="64"/>
      <c r="B58" s="64"/>
      <c r="D58" s="209"/>
      <c r="E58" s="217"/>
      <c r="F58" s="45"/>
      <c r="G58" s="57"/>
      <c r="AC58" s="263"/>
      <c r="AD58" s="360"/>
    </row>
    <row r="59" spans="1:30" s="53" customFormat="1" ht="12">
      <c r="A59" s="45"/>
      <c r="B59" s="45"/>
      <c r="C59" s="64" t="s">
        <v>94</v>
      </c>
      <c r="D59" s="209"/>
      <c r="E59" s="217"/>
      <c r="F59" s="45"/>
      <c r="G59" s="57"/>
      <c r="AC59" s="263"/>
      <c r="AD59" s="360"/>
    </row>
    <row r="60" spans="1:30" s="53" customFormat="1" ht="12">
      <c r="A60" s="45"/>
      <c r="B60" s="45"/>
      <c r="C60" s="55" t="s">
        <v>484</v>
      </c>
      <c r="D60" s="259">
        <v>0.5</v>
      </c>
      <c r="E60" s="217"/>
      <c r="F60" s="45"/>
      <c r="G60" s="57"/>
      <c r="AC60" s="263"/>
      <c r="AD60" s="360"/>
    </row>
    <row r="61" spans="1:30" s="53" customFormat="1" ht="12">
      <c r="A61" s="45"/>
      <c r="B61" s="45"/>
      <c r="C61" s="78"/>
      <c r="D61" s="209"/>
      <c r="E61" s="217"/>
      <c r="F61" s="45"/>
      <c r="G61" s="57"/>
      <c r="AC61" s="263"/>
      <c r="AD61" s="360"/>
    </row>
    <row r="62" spans="1:30" s="53" customFormat="1" ht="12">
      <c r="A62" s="45"/>
      <c r="B62" s="5" t="s">
        <v>261</v>
      </c>
      <c r="C62" s="78"/>
      <c r="D62" s="209"/>
      <c r="E62" s="217"/>
      <c r="F62" s="45"/>
      <c r="G62" s="57"/>
      <c r="AC62" s="263"/>
      <c r="AD62" s="360"/>
    </row>
    <row r="63" spans="1:30" s="53" customFormat="1" ht="12">
      <c r="A63" s="44"/>
      <c r="B63" s="5"/>
      <c r="C63" s="78" t="s">
        <v>411</v>
      </c>
      <c r="D63" s="210"/>
      <c r="E63" s="217"/>
      <c r="F63" s="45">
        <f t="shared" ref="F63:AC63" si="8">F13</f>
        <v>0</v>
      </c>
      <c r="G63" s="45">
        <f t="shared" si="8"/>
        <v>0</v>
      </c>
      <c r="H63" s="45">
        <f t="shared" si="8"/>
        <v>87.5</v>
      </c>
      <c r="I63" s="244">
        <f t="shared" si="8"/>
        <v>96.25</v>
      </c>
      <c r="J63" s="244">
        <f t="shared" si="8"/>
        <v>105.17500000000001</v>
      </c>
      <c r="K63" s="244">
        <f t="shared" si="8"/>
        <v>114.27849999999999</v>
      </c>
      <c r="L63" s="244">
        <f t="shared" si="8"/>
        <v>123.56407</v>
      </c>
      <c r="M63" s="244">
        <f t="shared" si="8"/>
        <v>133.03535140000005</v>
      </c>
      <c r="N63" s="244">
        <f t="shared" si="8"/>
        <v>142.6960584280001</v>
      </c>
      <c r="O63" s="244">
        <f t="shared" si="8"/>
        <v>152.54997959656004</v>
      </c>
      <c r="P63" s="244">
        <f t="shared" si="8"/>
        <v>162.60097918849135</v>
      </c>
      <c r="Q63" s="244">
        <f t="shared" si="8"/>
        <v>172.85299877226117</v>
      </c>
      <c r="R63" s="244">
        <f t="shared" si="8"/>
        <v>183.31005874770636</v>
      </c>
      <c r="S63" s="244">
        <f t="shared" si="8"/>
        <v>193.9762599226604</v>
      </c>
      <c r="T63" s="244">
        <f t="shared" si="8"/>
        <v>204.85578512111371</v>
      </c>
      <c r="U63" s="244">
        <f t="shared" si="8"/>
        <v>215.95290082353597</v>
      </c>
      <c r="V63" s="244">
        <f t="shared" si="8"/>
        <v>227.27195884000668</v>
      </c>
      <c r="W63" s="244">
        <f t="shared" si="8"/>
        <v>238.81739801680689</v>
      </c>
      <c r="X63" s="244">
        <f t="shared" si="8"/>
        <v>250.59374597714296</v>
      </c>
      <c r="Y63" s="244">
        <f t="shared" si="8"/>
        <v>262.60562089668593</v>
      </c>
      <c r="Z63" s="244">
        <f t="shared" si="8"/>
        <v>274.85773331461962</v>
      </c>
      <c r="AA63" s="244">
        <f t="shared" si="8"/>
        <v>287.35488798091194</v>
      </c>
      <c r="AB63" s="244">
        <f t="shared" si="8"/>
        <v>300.10198574053032</v>
      </c>
      <c r="AC63" s="265">
        <f t="shared" si="8"/>
        <v>313.10402545534089</v>
      </c>
      <c r="AD63" s="360">
        <f t="shared" si="0"/>
        <v>4243.3052982223744</v>
      </c>
    </row>
    <row r="64" spans="1:30" s="53" customFormat="1" ht="12">
      <c r="A64" s="44"/>
      <c r="B64" s="5"/>
      <c r="C64" s="78" t="s">
        <v>427</v>
      </c>
      <c r="D64" s="210"/>
      <c r="E64" s="217"/>
      <c r="F64" s="255">
        <f>F46*$D$60</f>
        <v>-0.77686983466086934</v>
      </c>
      <c r="G64" s="255">
        <f t="shared" ref="G64:AC64" si="9">G46*$D$60</f>
        <v>-0.76978554091922424</v>
      </c>
      <c r="H64" s="255">
        <f t="shared" si="9"/>
        <v>-0.76267555115393781</v>
      </c>
      <c r="I64" s="255">
        <f t="shared" si="9"/>
        <v>-0.75553972530476132</v>
      </c>
      <c r="J64" s="255">
        <f t="shared" si="9"/>
        <v>-0.74837792229170086</v>
      </c>
      <c r="K64" s="255">
        <f t="shared" si="9"/>
        <v>-0.74119000000571456</v>
      </c>
      <c r="L64" s="255">
        <f t="shared" si="9"/>
        <v>-0.73397581529931921</v>
      </c>
      <c r="M64" s="255">
        <f t="shared" si="9"/>
        <v>-0.72673522397708501</v>
      </c>
      <c r="N64" s="255">
        <f t="shared" si="9"/>
        <v>-0.71946808078602631</v>
      </c>
      <c r="O64" s="255">
        <f t="shared" si="9"/>
        <v>-0.71217423940589208</v>
      </c>
      <c r="P64" s="255">
        <f t="shared" si="9"/>
        <v>-0.70485355243934267</v>
      </c>
      <c r="Q64" s="255">
        <f t="shared" si="9"/>
        <v>-0.69750587140202169</v>
      </c>
      <c r="R64" s="255">
        <f t="shared" si="9"/>
        <v>-0.6901310467125179</v>
      </c>
      <c r="S64" s="255">
        <f t="shared" si="9"/>
        <v>-0.68272892768221416</v>
      </c>
      <c r="T64" s="255">
        <f t="shared" si="9"/>
        <v>-0.67529936250502098</v>
      </c>
      <c r="U64" s="255">
        <f t="shared" si="9"/>
        <v>-0.6678421982470053</v>
      </c>
      <c r="V64" s="255">
        <f t="shared" si="9"/>
        <v>-0.66035728083588863</v>
      </c>
      <c r="W64" s="255">
        <f t="shared" si="9"/>
        <v>-0.65284445505044308</v>
      </c>
      <c r="X64" s="255">
        <f t="shared" si="9"/>
        <v>-0.64530356450975779</v>
      </c>
      <c r="Y64" s="255">
        <f t="shared" si="9"/>
        <v>-0.63773445166238885</v>
      </c>
      <c r="Z64" s="255">
        <f t="shared" si="9"/>
        <v>-0.63013695777538681</v>
      </c>
      <c r="AA64" s="255">
        <f t="shared" si="9"/>
        <v>-0.62251092292319887</v>
      </c>
      <c r="AB64" s="255">
        <f t="shared" si="9"/>
        <v>-0.61485618597645297</v>
      </c>
      <c r="AC64" s="268">
        <f t="shared" si="9"/>
        <v>-0.60717258459060242</v>
      </c>
      <c r="AD64" s="360">
        <f t="shared" si="0"/>
        <v>-16.636069296116773</v>
      </c>
    </row>
    <row r="65" spans="1:30" s="53" customFormat="1" ht="12">
      <c r="A65" s="44"/>
      <c r="B65" s="5"/>
      <c r="C65" s="225" t="s">
        <v>527</v>
      </c>
      <c r="D65" s="209"/>
      <c r="E65" s="217"/>
      <c r="F65" s="421">
        <f>F64*F63</f>
        <v>0</v>
      </c>
      <c r="G65" s="421">
        <f t="shared" ref="G65:AB65" si="10">G64*G63</f>
        <v>0</v>
      </c>
      <c r="H65" s="421">
        <f t="shared" si="10"/>
        <v>-66.734110725969558</v>
      </c>
      <c r="I65" s="421">
        <f t="shared" si="10"/>
        <v>-72.720698560583273</v>
      </c>
      <c r="J65" s="421">
        <f t="shared" si="10"/>
        <v>-78.710647977029652</v>
      </c>
      <c r="K65" s="421">
        <f t="shared" si="10"/>
        <v>-84.702081415653041</v>
      </c>
      <c r="L65" s="421">
        <f t="shared" si="10"/>
        <v>-90.693039019952153</v>
      </c>
      <c r="M65" s="421">
        <f t="shared" si="10"/>
        <v>-96.681475896549244</v>
      </c>
      <c r="N65" s="421">
        <f t="shared" si="10"/>
        <v>-102.66525929292391</v>
      </c>
      <c r="O65" s="421">
        <f t="shared" si="10"/>
        <v>-108.6421656905645</v>
      </c>
      <c r="P65" s="421">
        <f t="shared" si="10"/>
        <v>-114.60987781112375</v>
      </c>
      <c r="Q65" s="421">
        <f t="shared" si="10"/>
        <v>-120.56598153309862</v>
      </c>
      <c r="R65" s="421">
        <f t="shared" si="10"/>
        <v>-126.50796271648774</v>
      </c>
      <c r="S65" s="421">
        <f t="shared" si="10"/>
        <v>-132.43320393280439</v>
      </c>
      <c r="T65" s="421">
        <f t="shared" si="10"/>
        <v>-138.33898109775365</v>
      </c>
      <c r="U65" s="421">
        <f t="shared" si="10"/>
        <v>-144.22246000380778</v>
      </c>
      <c r="V65" s="421">
        <f t="shared" si="10"/>
        <v>-150.08069274983282</v>
      </c>
      <c r="W65" s="421">
        <f t="shared" si="10"/>
        <v>-155.91061406484707</v>
      </c>
      <c r="X65" s="421">
        <f t="shared" si="10"/>
        <v>-161.70903752290312</v>
      </c>
      <c r="Y65" s="421">
        <f t="shared" si="10"/>
        <v>-167.47265164600915</v>
      </c>
      <c r="Z65" s="421">
        <f t="shared" si="10"/>
        <v>-173.198015891913</v>
      </c>
      <c r="AA65" s="421">
        <f t="shared" si="10"/>
        <v>-178.88155652348991</v>
      </c>
      <c r="AB65" s="421">
        <f t="shared" si="10"/>
        <v>-184.51956235638235</v>
      </c>
      <c r="AC65" s="539">
        <f t="shared" ref="AC65" si="11">AC64*AC63</f>
        <v>-190.10818038144109</v>
      </c>
      <c r="AD65" s="360">
        <f t="shared" si="0"/>
        <v>-2840.1082568111201</v>
      </c>
    </row>
    <row r="66" spans="1:30" s="53" customFormat="1" ht="12">
      <c r="A66" s="44"/>
      <c r="B66" s="5"/>
      <c r="C66" s="78" t="s">
        <v>428</v>
      </c>
      <c r="D66" s="253">
        <f>D54</f>
        <v>8.717994892755625</v>
      </c>
      <c r="E66" s="217"/>
      <c r="F66" s="421">
        <f>$D66*F63</f>
        <v>0</v>
      </c>
      <c r="G66" s="421">
        <f t="shared" ref="G66:AB66" si="12">$D66*G63</f>
        <v>0</v>
      </c>
      <c r="H66" s="421">
        <f t="shared" si="12"/>
        <v>762.82455311611716</v>
      </c>
      <c r="I66" s="421">
        <f t="shared" si="12"/>
        <v>839.10700842772894</v>
      </c>
      <c r="J66" s="421">
        <f t="shared" si="12"/>
        <v>916.91511284557293</v>
      </c>
      <c r="K66" s="421">
        <f t="shared" si="12"/>
        <v>996.27937935177363</v>
      </c>
      <c r="L66" s="421">
        <f t="shared" si="12"/>
        <v>1077.2309311880986</v>
      </c>
      <c r="M66" s="421">
        <f t="shared" si="12"/>
        <v>1159.8015140611503</v>
      </c>
      <c r="N66" s="421">
        <f t="shared" si="12"/>
        <v>1244.0235085916631</v>
      </c>
      <c r="O66" s="421">
        <f t="shared" si="12"/>
        <v>1329.9299430127851</v>
      </c>
      <c r="P66" s="421">
        <f t="shared" si="12"/>
        <v>1417.5545061223313</v>
      </c>
      <c r="Q66" s="421">
        <f t="shared" si="12"/>
        <v>1506.9315604940673</v>
      </c>
      <c r="R66" s="421">
        <f t="shared" si="12"/>
        <v>1598.0961559532377</v>
      </c>
      <c r="S66" s="421">
        <f t="shared" si="12"/>
        <v>1691.084043321591</v>
      </c>
      <c r="T66" s="421">
        <f t="shared" si="12"/>
        <v>1785.9316884373131</v>
      </c>
      <c r="U66" s="421">
        <f t="shared" si="12"/>
        <v>1882.6762864553486</v>
      </c>
      <c r="V66" s="421">
        <f t="shared" si="12"/>
        <v>1981.3557764337447</v>
      </c>
      <c r="W66" s="421">
        <f t="shared" si="12"/>
        <v>2082.0088562117098</v>
      </c>
      <c r="X66" s="421">
        <f t="shared" si="12"/>
        <v>2184.6749975852326</v>
      </c>
      <c r="Y66" s="421">
        <f t="shared" si="12"/>
        <v>2289.394461786228</v>
      </c>
      <c r="Z66" s="421">
        <f t="shared" si="12"/>
        <v>2396.2083152712416</v>
      </c>
      <c r="AA66" s="421">
        <f t="shared" si="12"/>
        <v>2505.1584458259549</v>
      </c>
      <c r="AB66" s="421">
        <f t="shared" si="12"/>
        <v>2616.2875789917648</v>
      </c>
      <c r="AC66" s="539">
        <f t="shared" ref="AC66" si="13">$D66*AC63</f>
        <v>2729.6392948208891</v>
      </c>
      <c r="AD66" s="360">
        <f t="shared" si="0"/>
        <v>36993.113918305542</v>
      </c>
    </row>
    <row r="67" spans="1:30" s="53" customFormat="1" ht="12">
      <c r="A67" s="45"/>
      <c r="B67" s="45"/>
      <c r="D67" s="209"/>
      <c r="E67" s="217"/>
      <c r="F67" s="45"/>
      <c r="G67" s="45"/>
      <c r="H67" s="45"/>
      <c r="I67" s="45"/>
      <c r="J67" s="45"/>
      <c r="K67" s="45"/>
      <c r="L67" s="45"/>
      <c r="M67" s="45"/>
      <c r="N67" s="45"/>
      <c r="O67" s="45"/>
      <c r="P67" s="45"/>
      <c r="Q67" s="45"/>
      <c r="R67" s="45"/>
      <c r="S67" s="45"/>
      <c r="T67" s="45"/>
      <c r="U67" s="45"/>
      <c r="V67" s="45"/>
      <c r="W67" s="45"/>
      <c r="X67" s="45"/>
      <c r="Y67" s="45"/>
      <c r="Z67" s="45"/>
      <c r="AA67" s="45"/>
      <c r="AB67" s="45"/>
      <c r="AC67" s="263"/>
      <c r="AD67" s="360"/>
    </row>
    <row r="68" spans="1:30" s="53" customFormat="1" ht="12">
      <c r="A68" s="45"/>
      <c r="B68" s="45"/>
      <c r="C68" s="5" t="s">
        <v>487</v>
      </c>
      <c r="D68" s="209"/>
      <c r="E68" s="217"/>
      <c r="F68" s="285">
        <f>F65+F66</f>
        <v>0</v>
      </c>
      <c r="G68" s="285">
        <f t="shared" ref="G68:AC68" si="14">G65+G66</f>
        <v>0</v>
      </c>
      <c r="H68" s="285">
        <f t="shared" si="14"/>
        <v>696.09044239014759</v>
      </c>
      <c r="I68" s="285">
        <f t="shared" si="14"/>
        <v>766.38630986714566</v>
      </c>
      <c r="J68" s="285">
        <f t="shared" si="14"/>
        <v>838.20446486854325</v>
      </c>
      <c r="K68" s="285">
        <f t="shared" si="14"/>
        <v>911.57729793612054</v>
      </c>
      <c r="L68" s="285">
        <f t="shared" si="14"/>
        <v>986.53789216814641</v>
      </c>
      <c r="M68" s="285">
        <f t="shared" si="14"/>
        <v>1063.1200381646011</v>
      </c>
      <c r="N68" s="285">
        <f t="shared" si="14"/>
        <v>1141.3582492987393</v>
      </c>
      <c r="O68" s="285">
        <f t="shared" si="14"/>
        <v>1221.2877773222206</v>
      </c>
      <c r="P68" s="285">
        <f t="shared" si="14"/>
        <v>1302.9446283112075</v>
      </c>
      <c r="Q68" s="285">
        <f t="shared" si="14"/>
        <v>1386.3655789609686</v>
      </c>
      <c r="R68" s="285">
        <f t="shared" si="14"/>
        <v>1471.5881932367499</v>
      </c>
      <c r="S68" s="285">
        <f t="shared" si="14"/>
        <v>1558.6508393887866</v>
      </c>
      <c r="T68" s="285">
        <f t="shared" si="14"/>
        <v>1647.5927073395594</v>
      </c>
      <c r="U68" s="285">
        <f t="shared" si="14"/>
        <v>1738.4538264515409</v>
      </c>
      <c r="V68" s="285">
        <f t="shared" si="14"/>
        <v>1831.2750836839118</v>
      </c>
      <c r="W68" s="285">
        <f t="shared" si="14"/>
        <v>1926.0982421468627</v>
      </c>
      <c r="X68" s="285">
        <f t="shared" si="14"/>
        <v>2022.9659600623295</v>
      </c>
      <c r="Y68" s="285">
        <f t="shared" si="14"/>
        <v>2121.9218101402189</v>
      </c>
      <c r="Z68" s="285">
        <f t="shared" si="14"/>
        <v>2223.0102993793284</v>
      </c>
      <c r="AA68" s="285">
        <f t="shared" si="14"/>
        <v>2326.276889302465</v>
      </c>
      <c r="AB68" s="285">
        <f t="shared" si="14"/>
        <v>2431.7680166353825</v>
      </c>
      <c r="AC68" s="286">
        <f t="shared" si="14"/>
        <v>2539.5311144394482</v>
      </c>
      <c r="AD68" s="347">
        <f t="shared" si="0"/>
        <v>34153.005661494426</v>
      </c>
    </row>
    <row r="69" spans="1:30" s="53" customFormat="1" ht="12">
      <c r="A69" s="45"/>
      <c r="B69" s="45"/>
      <c r="D69" s="209"/>
      <c r="E69" s="217"/>
      <c r="F69" s="45"/>
      <c r="G69" s="57"/>
      <c r="AC69" s="263"/>
      <c r="AD69" s="360"/>
    </row>
    <row r="70" spans="1:30" s="53" customFormat="1" ht="12">
      <c r="A70" s="45"/>
      <c r="B70" s="5" t="s">
        <v>507</v>
      </c>
      <c r="C70" s="70" t="s">
        <v>505</v>
      </c>
      <c r="D70" s="209"/>
      <c r="E70" s="217"/>
      <c r="G70" s="57"/>
      <c r="AC70" s="263"/>
      <c r="AD70" s="360"/>
    </row>
    <row r="71" spans="1:30" s="53" customFormat="1" ht="12">
      <c r="A71" s="45"/>
      <c r="B71" s="55" t="s">
        <v>508</v>
      </c>
      <c r="C71" s="225" t="s">
        <v>509</v>
      </c>
      <c r="D71" s="322">
        <v>5.3999999999999999E-2</v>
      </c>
      <c r="E71" s="217"/>
      <c r="G71" s="57"/>
      <c r="AC71" s="263"/>
      <c r="AD71" s="360"/>
    </row>
    <row r="72" spans="1:30" s="53" customFormat="1" ht="12">
      <c r="A72" s="45"/>
      <c r="D72" s="209"/>
      <c r="E72" s="217"/>
      <c r="F72" s="255">
        <f>-F20*$D$71</f>
        <v>0</v>
      </c>
      <c r="G72" s="255">
        <f t="shared" ref="G72:AC72" si="15">-G20*$D$71</f>
        <v>0</v>
      </c>
      <c r="H72" s="255">
        <f t="shared" si="15"/>
        <v>2244.375</v>
      </c>
      <c r="I72" s="255">
        <f t="shared" si="15"/>
        <v>2468.8125</v>
      </c>
      <c r="J72" s="255">
        <f t="shared" si="15"/>
        <v>2697.7387499999995</v>
      </c>
      <c r="K72" s="255">
        <f t="shared" si="15"/>
        <v>2931.2435249999999</v>
      </c>
      <c r="L72" s="255">
        <f t="shared" si="15"/>
        <v>3169.4183954999999</v>
      </c>
      <c r="M72" s="255">
        <f t="shared" si="15"/>
        <v>3412.3567634100004</v>
      </c>
      <c r="N72" s="255">
        <f t="shared" si="15"/>
        <v>3660.1538986782029</v>
      </c>
      <c r="O72" s="255">
        <f t="shared" si="15"/>
        <v>3912.9069766517641</v>
      </c>
      <c r="P72" s="255">
        <f t="shared" si="15"/>
        <v>4170.7151161848024</v>
      </c>
      <c r="Q72" s="255">
        <f t="shared" si="15"/>
        <v>4433.6794185084982</v>
      </c>
      <c r="R72" s="255">
        <f t="shared" si="15"/>
        <v>4701.9030068786678</v>
      </c>
      <c r="S72" s="255">
        <f t="shared" si="15"/>
        <v>4975.491067016239</v>
      </c>
      <c r="T72" s="255">
        <f t="shared" si="15"/>
        <v>5254.5508883565662</v>
      </c>
      <c r="U72" s="255">
        <f t="shared" si="15"/>
        <v>5539.1919061236977</v>
      </c>
      <c r="V72" s="255">
        <f t="shared" si="15"/>
        <v>5829.5257442461707</v>
      </c>
      <c r="W72" s="255">
        <f t="shared" si="15"/>
        <v>6125.666259131096</v>
      </c>
      <c r="X72" s="255">
        <f t="shared" si="15"/>
        <v>6427.7295843137163</v>
      </c>
      <c r="Y72" s="255">
        <f t="shared" si="15"/>
        <v>6735.834175999993</v>
      </c>
      <c r="Z72" s="255">
        <f t="shared" si="15"/>
        <v>7050.1008595199928</v>
      </c>
      <c r="AA72" s="255">
        <f t="shared" si="15"/>
        <v>7370.65287671039</v>
      </c>
      <c r="AB72" s="255">
        <f t="shared" si="15"/>
        <v>7697.6159342446008</v>
      </c>
      <c r="AC72" s="268">
        <f t="shared" si="15"/>
        <v>8031.1182529294929</v>
      </c>
      <c r="AD72" s="360">
        <f t="shared" ref="AD72:AD99" si="16">SUM(F72:AC72)</f>
        <v>108840.78089940389</v>
      </c>
    </row>
    <row r="73" spans="1:30" s="53" customFormat="1" ht="12">
      <c r="A73" s="45"/>
      <c r="B73" s="45"/>
      <c r="C73" s="5"/>
      <c r="D73" s="209"/>
      <c r="E73" s="217"/>
      <c r="F73" s="45"/>
      <c r="G73" s="57"/>
      <c r="AC73" s="263"/>
      <c r="AD73" s="360"/>
    </row>
    <row r="74" spans="1:30" s="53" customFormat="1" ht="12">
      <c r="A74" s="45"/>
      <c r="B74" s="45"/>
      <c r="C74" s="5" t="s">
        <v>517</v>
      </c>
      <c r="D74" s="209"/>
      <c r="E74" s="217"/>
      <c r="F74" s="289">
        <f>F72</f>
        <v>0</v>
      </c>
      <c r="G74" s="289">
        <f t="shared" ref="G74:AC74" si="17">G72</f>
        <v>0</v>
      </c>
      <c r="H74" s="289">
        <f t="shared" si="17"/>
        <v>2244.375</v>
      </c>
      <c r="I74" s="289">
        <f t="shared" si="17"/>
        <v>2468.8125</v>
      </c>
      <c r="J74" s="289">
        <f t="shared" si="17"/>
        <v>2697.7387499999995</v>
      </c>
      <c r="K74" s="289">
        <f t="shared" si="17"/>
        <v>2931.2435249999999</v>
      </c>
      <c r="L74" s="289">
        <f t="shared" si="17"/>
        <v>3169.4183954999999</v>
      </c>
      <c r="M74" s="289">
        <f t="shared" si="17"/>
        <v>3412.3567634100004</v>
      </c>
      <c r="N74" s="289">
        <f t="shared" si="17"/>
        <v>3660.1538986782029</v>
      </c>
      <c r="O74" s="289">
        <f t="shared" si="17"/>
        <v>3912.9069766517641</v>
      </c>
      <c r="P74" s="289">
        <f t="shared" si="17"/>
        <v>4170.7151161848024</v>
      </c>
      <c r="Q74" s="289">
        <f t="shared" si="17"/>
        <v>4433.6794185084982</v>
      </c>
      <c r="R74" s="289">
        <f t="shared" si="17"/>
        <v>4701.9030068786678</v>
      </c>
      <c r="S74" s="289">
        <f t="shared" si="17"/>
        <v>4975.491067016239</v>
      </c>
      <c r="T74" s="289">
        <f t="shared" si="17"/>
        <v>5254.5508883565662</v>
      </c>
      <c r="U74" s="289">
        <f t="shared" si="17"/>
        <v>5539.1919061236977</v>
      </c>
      <c r="V74" s="289">
        <f t="shared" si="17"/>
        <v>5829.5257442461707</v>
      </c>
      <c r="W74" s="289">
        <f t="shared" si="17"/>
        <v>6125.666259131096</v>
      </c>
      <c r="X74" s="289">
        <f t="shared" si="17"/>
        <v>6427.7295843137163</v>
      </c>
      <c r="Y74" s="289">
        <f t="shared" si="17"/>
        <v>6735.834175999993</v>
      </c>
      <c r="Z74" s="289">
        <f t="shared" si="17"/>
        <v>7050.1008595199928</v>
      </c>
      <c r="AA74" s="289">
        <f t="shared" si="17"/>
        <v>7370.65287671039</v>
      </c>
      <c r="AB74" s="289">
        <f t="shared" si="17"/>
        <v>7697.6159342446008</v>
      </c>
      <c r="AC74" s="318">
        <f t="shared" si="17"/>
        <v>8031.1182529294929</v>
      </c>
      <c r="AD74" s="347">
        <f t="shared" si="16"/>
        <v>108840.78089940389</v>
      </c>
    </row>
    <row r="75" spans="1:30" s="53" customFormat="1" ht="12">
      <c r="A75" s="45"/>
      <c r="B75" s="45"/>
      <c r="C75" s="5"/>
      <c r="D75" s="209"/>
      <c r="E75" s="217"/>
      <c r="F75" s="45"/>
      <c r="G75" s="57"/>
      <c r="AC75" s="263"/>
      <c r="AD75" s="360"/>
    </row>
    <row r="76" spans="1:30" s="53" customFormat="1" ht="12">
      <c r="A76" s="45"/>
      <c r="B76" s="55" t="s">
        <v>501</v>
      </c>
      <c r="C76" s="5"/>
      <c r="D76" s="209"/>
      <c r="E76" s="217"/>
      <c r="F76" s="233">
        <f>F21</f>
        <v>0</v>
      </c>
      <c r="G76" s="233">
        <f t="shared" ref="G76:AC76" si="18">G21</f>
        <v>0</v>
      </c>
      <c r="H76" s="233">
        <f t="shared" si="18"/>
        <v>7001.406170255932</v>
      </c>
      <c r="I76" s="233">
        <f t="shared" si="18"/>
        <v>7535.4629353582823</v>
      </c>
      <c r="J76" s="233">
        <f t="shared" si="18"/>
        <v>8060.3836925185642</v>
      </c>
      <c r="K76" s="233">
        <f t="shared" si="18"/>
        <v>8576.9977447504352</v>
      </c>
      <c r="L76" s="233">
        <f t="shared" si="18"/>
        <v>9086.0723535068792</v>
      </c>
      <c r="M76" s="233">
        <f t="shared" si="18"/>
        <v>9588.3189979900071</v>
      </c>
      <c r="N76" s="233">
        <f t="shared" si="18"/>
        <v>10279.153468213481</v>
      </c>
      <c r="O76" s="233">
        <f t="shared" si="18"/>
        <v>10983.167539377453</v>
      </c>
      <c r="P76" s="233">
        <f t="shared" si="18"/>
        <v>11700.618366253348</v>
      </c>
      <c r="Q76" s="233">
        <f t="shared" si="18"/>
        <v>12431.76811823949</v>
      </c>
      <c r="R76" s="233">
        <f t="shared" si="18"/>
        <v>13176.884077222425</v>
      </c>
      <c r="S76" s="233">
        <f t="shared" si="18"/>
        <v>13936.238737349006</v>
      </c>
      <c r="T76" s="233">
        <f t="shared" si="18"/>
        <v>14710.109906746849</v>
      </c>
      <c r="U76" s="233">
        <f t="shared" si="18"/>
        <v>15498.780811231003</v>
      </c>
      <c r="V76" s="233">
        <f t="shared" si="18"/>
        <v>16302.540200035886</v>
      </c>
      <c r="W76" s="233">
        <f t="shared" si="18"/>
        <v>17121.682453611847</v>
      </c>
      <c r="X76" s="233">
        <f t="shared" si="18"/>
        <v>17956.507693526772</v>
      </c>
      <c r="Y76" s="233">
        <f t="shared" si="18"/>
        <v>18807.32189451396</v>
      </c>
      <c r="Z76" s="233">
        <f t="shared" si="18"/>
        <v>19674.436998707974</v>
      </c>
      <c r="AA76" s="233">
        <f t="shared" si="18"/>
        <v>20558.17103211151</v>
      </c>
      <c r="AB76" s="233">
        <f t="shared" si="18"/>
        <v>21458.848223336667</v>
      </c>
      <c r="AC76" s="266">
        <f t="shared" si="18"/>
        <v>22376.799124665038</v>
      </c>
      <c r="AD76" s="360">
        <f t="shared" si="16"/>
        <v>306821.67053952278</v>
      </c>
    </row>
    <row r="77" spans="1:30" s="5" customFormat="1" ht="12">
      <c r="A77" s="58"/>
      <c r="B77" s="58"/>
      <c r="C77" s="5" t="s">
        <v>592</v>
      </c>
      <c r="D77" s="212"/>
      <c r="E77" s="220"/>
      <c r="F77" s="83">
        <f>F76</f>
        <v>0</v>
      </c>
      <c r="G77" s="83">
        <f t="shared" ref="G77:AC77" si="19">G76</f>
        <v>0</v>
      </c>
      <c r="H77" s="83">
        <f t="shared" si="19"/>
        <v>7001.406170255932</v>
      </c>
      <c r="I77" s="83">
        <f t="shared" si="19"/>
        <v>7535.4629353582823</v>
      </c>
      <c r="J77" s="83">
        <f t="shared" si="19"/>
        <v>8060.3836925185642</v>
      </c>
      <c r="K77" s="83">
        <f t="shared" si="19"/>
        <v>8576.9977447504352</v>
      </c>
      <c r="L77" s="83">
        <f t="shared" si="19"/>
        <v>9086.0723535068792</v>
      </c>
      <c r="M77" s="83">
        <f t="shared" si="19"/>
        <v>9588.3189979900071</v>
      </c>
      <c r="N77" s="83">
        <f t="shared" si="19"/>
        <v>10279.153468213481</v>
      </c>
      <c r="O77" s="83">
        <f t="shared" si="19"/>
        <v>10983.167539377453</v>
      </c>
      <c r="P77" s="83">
        <f t="shared" si="19"/>
        <v>11700.618366253348</v>
      </c>
      <c r="Q77" s="83">
        <f t="shared" si="19"/>
        <v>12431.76811823949</v>
      </c>
      <c r="R77" s="83">
        <f t="shared" si="19"/>
        <v>13176.884077222425</v>
      </c>
      <c r="S77" s="83">
        <f t="shared" si="19"/>
        <v>13936.238737349006</v>
      </c>
      <c r="T77" s="83">
        <f t="shared" si="19"/>
        <v>14710.109906746849</v>
      </c>
      <c r="U77" s="83">
        <f t="shared" si="19"/>
        <v>15498.780811231003</v>
      </c>
      <c r="V77" s="83">
        <f t="shared" si="19"/>
        <v>16302.540200035886</v>
      </c>
      <c r="W77" s="83">
        <f t="shared" si="19"/>
        <v>17121.682453611847</v>
      </c>
      <c r="X77" s="83">
        <f t="shared" si="19"/>
        <v>17956.507693526772</v>
      </c>
      <c r="Y77" s="83">
        <f t="shared" si="19"/>
        <v>18807.32189451396</v>
      </c>
      <c r="Z77" s="83">
        <f t="shared" si="19"/>
        <v>19674.436998707974</v>
      </c>
      <c r="AA77" s="83">
        <f t="shared" si="19"/>
        <v>20558.17103211151</v>
      </c>
      <c r="AB77" s="83">
        <f t="shared" si="19"/>
        <v>21458.848223336667</v>
      </c>
      <c r="AC77" s="272">
        <f t="shared" si="19"/>
        <v>22376.799124665038</v>
      </c>
      <c r="AD77" s="347">
        <f t="shared" si="16"/>
        <v>306821.67053952278</v>
      </c>
    </row>
    <row r="78" spans="1:30" s="110" customFormat="1" ht="12">
      <c r="A78" s="107"/>
      <c r="B78" s="107"/>
      <c r="C78" s="108"/>
      <c r="D78" s="208"/>
      <c r="E78" s="216"/>
      <c r="F78" s="109"/>
      <c r="G78" s="109"/>
      <c r="H78" s="109"/>
      <c r="I78" s="109"/>
      <c r="J78" s="109"/>
      <c r="K78" s="109"/>
      <c r="L78" s="109"/>
      <c r="M78" s="109"/>
      <c r="N78" s="109"/>
      <c r="O78" s="109"/>
      <c r="P78" s="109"/>
      <c r="Q78" s="109"/>
      <c r="R78" s="109"/>
      <c r="S78" s="109"/>
      <c r="T78" s="109"/>
      <c r="U78" s="109"/>
      <c r="V78" s="109"/>
      <c r="W78" s="109"/>
      <c r="X78" s="109"/>
      <c r="Y78" s="109"/>
      <c r="Z78" s="109"/>
      <c r="AC78" s="262"/>
      <c r="AD78" s="360"/>
    </row>
    <row r="79" spans="1:30" s="53" customFormat="1" ht="12">
      <c r="A79" s="58" t="s">
        <v>344</v>
      </c>
      <c r="B79" s="58"/>
      <c r="D79" s="209"/>
      <c r="E79" s="217"/>
      <c r="F79" s="45"/>
      <c r="G79" s="57"/>
      <c r="AC79" s="263"/>
      <c r="AD79" s="360"/>
    </row>
    <row r="80" spans="1:30" s="53" customFormat="1" ht="12">
      <c r="A80" s="55"/>
      <c r="B80" s="55"/>
      <c r="D80" s="209"/>
      <c r="E80" s="217"/>
      <c r="F80" s="45"/>
      <c r="G80" s="57"/>
      <c r="AC80" s="263"/>
      <c r="AD80" s="360"/>
    </row>
    <row r="81" spans="1:30" s="53" customFormat="1" ht="12">
      <c r="A81" s="45"/>
      <c r="B81" s="45"/>
      <c r="C81" s="46" t="s">
        <v>88</v>
      </c>
      <c r="D81" s="209"/>
      <c r="E81" s="217"/>
      <c r="F81" s="45"/>
      <c r="G81" s="57"/>
      <c r="L81" s="61"/>
      <c r="AC81" s="263"/>
      <c r="AD81" s="360"/>
    </row>
    <row r="82" spans="1:30" s="53" customFormat="1" ht="12">
      <c r="A82" s="45"/>
      <c r="B82" s="45"/>
      <c r="C82" s="78" t="s">
        <v>42</v>
      </c>
      <c r="D82" s="209"/>
      <c r="E82" s="217"/>
      <c r="F82" s="45"/>
      <c r="G82" s="57"/>
      <c r="L82" s="61"/>
      <c r="AC82" s="263"/>
      <c r="AD82" s="360"/>
    </row>
    <row r="83" spans="1:30" s="53" customFormat="1" ht="12">
      <c r="A83" s="45"/>
      <c r="B83" s="45"/>
      <c r="C83" s="48" t="s">
        <v>97</v>
      </c>
      <c r="D83" s="209"/>
      <c r="E83" s="219"/>
      <c r="F83" s="71">
        <f>((('Emissions Assumptions'!D9/907185)+('Emissions Assumptions'!D11/907185))*F19)+(('Emissions Assumptions'!D10/907185)*F20)</f>
        <v>0</v>
      </c>
      <c r="G83" s="71">
        <f>((('Emissions Assumptions'!E9/907185)+('Emissions Assumptions'!E11/907185))*G19)+(('Emissions Assumptions'!E10/907185)*G20)</f>
        <v>0</v>
      </c>
      <c r="H83" s="71">
        <f>((('Emissions Assumptions'!F9/907185)+('Emissions Assumptions'!F11/907185))*H19)+(('Emissions Assumptions'!F10/907185)*H20)</f>
        <v>-8.9115468454615109E-3</v>
      </c>
      <c r="I83" s="71">
        <f>((('Emissions Assumptions'!G9/907185)+('Emissions Assumptions'!G11/907185))*I19)+(('Emissions Assumptions'!G10/907185)*I20)</f>
        <v>-9.3285128446788709E-3</v>
      </c>
      <c r="J83" s="71">
        <f>((('Emissions Assumptions'!H9/907185)+('Emissions Assumptions'!H11/907185))*J19)+(('Emissions Assumptions'!H10/907185)*J20)</f>
        <v>-9.6753614904898123E-3</v>
      </c>
      <c r="K83" s="71">
        <f>((('Emissions Assumptions'!I9/907185)+('Emissions Assumptions'!I11/907185))*K19)+(('Emissions Assumptions'!I10/907185)*K20)</f>
        <v>-9.9498110313552372E-3</v>
      </c>
      <c r="L83" s="71">
        <f>((('Emissions Assumptions'!J9/907185)+('Emissions Assumptions'!J11/907185))*L19)+(('Emissions Assumptions'!J10/907185)*L20)</f>
        <v>-1.014951649261584E-2</v>
      </c>
      <c r="M83" s="71">
        <f>((('Emissions Assumptions'!K9/907185)+('Emissions Assumptions'!K11/907185))*M19)+(('Emissions Assumptions'!K10/907185)*M20)</f>
        <v>-1.0272068060267925E-2</v>
      </c>
      <c r="N83" s="71">
        <f>((('Emissions Assumptions'!L9/907185)+('Emissions Assumptions'!L11/907185))*N19)+(('Emissions Assumptions'!L10/907185)*N20)</f>
        <v>-1.0314989425379494E-2</v>
      </c>
      <c r="O83" s="71">
        <f>((('Emissions Assumptions'!M9/907185)+('Emissions Assumptions'!M11/907185))*O19)+(('Emissions Assumptions'!M10/907185)*O20)</f>
        <v>-1.0275736088218686E-2</v>
      </c>
      <c r="P83" s="71">
        <f>((('Emissions Assumptions'!N9/907185)+('Emissions Assumptions'!N11/907185))*P19)+(('Emissions Assumptions'!N10/907185)*P20)</f>
        <v>-1.0856564031013594E-2</v>
      </c>
      <c r="Q83" s="71">
        <f>((('Emissions Assumptions'!O9/907185)+('Emissions Assumptions'!O11/907185))*Q19)+(('Emissions Assumptions'!O10/907185)*Q20)</f>
        <v>-1.1438801109138221E-2</v>
      </c>
      <c r="R83" s="71">
        <f>((('Emissions Assumptions'!P9/907185)+('Emissions Assumptions'!P11/907185))*R19)+(('Emissions Assumptions'!P10/907185)*R20)</f>
        <v>-1.2022354189988366E-2</v>
      </c>
      <c r="S83" s="71">
        <f>((('Emissions Assumptions'!Q9/907185)+('Emissions Assumptions'!Q11/907185))*S19)+(('Emissions Assumptions'!Q10/907185)*S20)</f>
        <v>-1.2607125852001513E-2</v>
      </c>
      <c r="T83" s="71">
        <f>((('Emissions Assumptions'!R9/907185)+('Emissions Assumptions'!R11/907185))*T19)+(('Emissions Assumptions'!R10/907185)*T20)</f>
        <v>-1.3193014250351583E-2</v>
      </c>
      <c r="U83" s="71">
        <f>((('Emissions Assumptions'!S9/907185)+('Emissions Assumptions'!S11/907185))*U19)+(('Emissions Assumptions'!S10/907185)*U20)</f>
        <v>-1.3779912978986945E-2</v>
      </c>
      <c r="V83" s="71">
        <f>((('Emissions Assumptions'!T9/907185)+('Emissions Assumptions'!T11/907185))*V19)+(('Emissions Assumptions'!T10/907185)*V20)</f>
        <v>-1.4367710928919397E-2</v>
      </c>
      <c r="W83" s="71">
        <f>((('Emissions Assumptions'!U9/907185)+('Emissions Assumptions'!U11/907185))*W19)+(('Emissions Assumptions'!U10/907185)*W20)</f>
        <v>-1.4956292142669093E-2</v>
      </c>
      <c r="X83" s="71">
        <f>((('Emissions Assumptions'!V9/907185)+('Emissions Assumptions'!V11/907185))*X19)+(('Emissions Assumptions'!V10/907185)*X20)</f>
        <v>-1.5545535664768455E-2</v>
      </c>
      <c r="Y83" s="71">
        <f>((('Emissions Assumptions'!W9/907185)+('Emissions Assumptions'!W11/907185))*Y19)+(('Emissions Assumptions'!W10/907185)*Y20)</f>
        <v>-1.6135315388225713E-2</v>
      </c>
      <c r="Z83" s="71">
        <f>((('Emissions Assumptions'!X9/907185)+('Emissions Assumptions'!X11/907185))*Z19)+(('Emissions Assumptions'!X10/907185)*Z20)</f>
        <v>-1.6888123714872812E-2</v>
      </c>
      <c r="AA83" s="71">
        <f>((('Emissions Assumptions'!Y9/907185)+('Emissions Assumptions'!Y11/907185))*AA19)+(('Emissions Assumptions'!Y10/907185)*AA20)</f>
        <v>-1.765598820805285E-2</v>
      </c>
      <c r="AB83" s="71">
        <f>((('Emissions Assumptions'!Z9/907185)+('Emissions Assumptions'!Z11/907185))*AB19)+(('Emissions Assumptions'!Z10/907185)*AB20)</f>
        <v>-1.8439209991096498E-2</v>
      </c>
      <c r="AC83" s="388">
        <f>((('Emissions Assumptions'!AA9/907185)+('Emissions Assumptions'!AA11/907185))*AC19)+(('Emissions Assumptions'!AA10/907185)*AC20)</f>
        <v>-1.923809620980102E-2</v>
      </c>
      <c r="AD83" s="357">
        <f t="shared" si="16"/>
        <v>-0.28600158693835342</v>
      </c>
    </row>
    <row r="84" spans="1:30" s="53" customFormat="1" ht="12">
      <c r="A84" s="45"/>
      <c r="B84" s="45"/>
      <c r="C84" s="48" t="s">
        <v>98</v>
      </c>
      <c r="D84" s="209"/>
      <c r="E84" s="219"/>
      <c r="F84" s="71">
        <f>(('Emissions Assumptions'!D4/907185)*F19)+(('Emissions Assumptions'!D5/907185)*F20)</f>
        <v>0</v>
      </c>
      <c r="G84" s="71">
        <f>(('Emissions Assumptions'!E4/907185)*G19)+(('Emissions Assumptions'!E5/907185)*G20)</f>
        <v>0</v>
      </c>
      <c r="H84" s="71">
        <f>(('Emissions Assumptions'!F4/907185)*H19)+(('Emissions Assumptions'!F5/907185)*H20)</f>
        <v>-1.5295656067946452E-2</v>
      </c>
      <c r="I84" s="71">
        <f>(('Emissions Assumptions'!G4/907185)*I19)+(('Emissions Assumptions'!G5/907185)*I20)</f>
        <v>-1.5641150978025431E-2</v>
      </c>
      <c r="J84" s="71">
        <f>(('Emissions Assumptions'!H4/907185)*J19)+(('Emissions Assumptions'!H5/907185)*J20)</f>
        <v>-1.5797645907394856E-2</v>
      </c>
      <c r="K84" s="71">
        <f>(('Emissions Assumptions'!I4/907185)*K19)+(('Emissions Assumptions'!I5/907185)*K20)</f>
        <v>-1.5759164943512077E-2</v>
      </c>
      <c r="L84" s="71">
        <f>(('Emissions Assumptions'!J4/907185)*L19)+(('Emissions Assumptions'!J5/907185)*L20)</f>
        <v>-1.5519568737325027E-2</v>
      </c>
      <c r="M84" s="71">
        <f>(('Emissions Assumptions'!K4/907185)*M19)+(('Emissions Assumptions'!K5/907185)*M20)</f>
        <v>-1.5072550356176856E-2</v>
      </c>
      <c r="N84" s="71">
        <f>(('Emissions Assumptions'!L4/907185)*N19)+(('Emissions Assumptions'!L5/907185)*N20)</f>
        <v>-1.4411631036201369E-2</v>
      </c>
      <c r="O84" s="71">
        <f>(('Emissions Assumptions'!M4/907185)*O19)+(('Emissions Assumptions'!M5/907185)*O20)</f>
        <v>-1.3530155831847676E-2</v>
      </c>
      <c r="P84" s="71">
        <f>(('Emissions Assumptions'!N4/907185)*P19)+(('Emissions Assumptions'!N5/907185)*P20)</f>
        <v>-1.4181421884731246E-2</v>
      </c>
      <c r="Q84" s="71">
        <f>(('Emissions Assumptions'!O4/907185)*Q19)+(('Emissions Assumptions'!O5/907185)*Q20)</f>
        <v>-1.4820229025706082E-2</v>
      </c>
      <c r="R84" s="71">
        <f>(('Emissions Assumptions'!P4/907185)*R19)+(('Emissions Assumptions'!P5/907185)*R20)</f>
        <v>-1.5446025196219992E-2</v>
      </c>
      <c r="S84" s="71">
        <f>(('Emissions Assumptions'!Q4/907185)*S19)+(('Emissions Assumptions'!Q5/907185)*S20)</f>
        <v>-1.6058241238943463E-2</v>
      </c>
      <c r="T84" s="71">
        <f>(('Emissions Assumptions'!R4/907185)*T19)+(('Emissions Assumptions'!R5/907185)*T20)</f>
        <v>-1.6656290434641997E-2</v>
      </c>
      <c r="U84" s="71">
        <f>(('Emissions Assumptions'!S4/907185)*U19)+(('Emissions Assumptions'!S5/907185)*U20)</f>
        <v>-1.7239568027362796E-2</v>
      </c>
      <c r="V84" s="71">
        <f>(('Emissions Assumptions'!T4/907185)*V19)+(('Emissions Assumptions'!T5/907185)*V20)</f>
        <v>-1.7807450737653791E-2</v>
      </c>
      <c r="W84" s="71">
        <f>(('Emissions Assumptions'!U4/907185)*W19)+(('Emissions Assumptions'!U5/907185)*W20)</f>
        <v>-1.8359296263526011E-2</v>
      </c>
      <c r="X84" s="71">
        <f>(('Emissions Assumptions'!V4/907185)*X19)+(('Emissions Assumptions'!V5/907185)*X20)</f>
        <v>-1.889444276886389E-2</v>
      </c>
      <c r="Y84" s="71">
        <f>(('Emissions Assumptions'!W4/907185)*Y19)+(('Emissions Assumptions'!W5/907185)*Y20)</f>
        <v>-1.9412208358981026E-2</v>
      </c>
      <c r="Z84" s="71">
        <f>(('Emissions Assumptions'!X4/907185)*Z19)+(('Emissions Assumptions'!X5/907185)*Z20)</f>
        <v>-2.031790321152251E-2</v>
      </c>
      <c r="AA84" s="71">
        <f>(('Emissions Assumptions'!Y4/907185)*AA19)+(('Emissions Assumptions'!Y5/907185)*AA20)</f>
        <v>-2.1241711961114813E-2</v>
      </c>
      <c r="AB84" s="71">
        <f>(('Emissions Assumptions'!Z4/907185)*AB19)+(('Emissions Assumptions'!Z5/907185)*AB20)</f>
        <v>-2.218399688569898E-2</v>
      </c>
      <c r="AC84" s="388">
        <f>(('Emissions Assumptions'!AA4/907185)*AC19)+(('Emissions Assumptions'!AA5/907185)*AC20)</f>
        <v>-2.3145127508774822E-2</v>
      </c>
      <c r="AD84" s="357">
        <f t="shared" si="16"/>
        <v>-0.37679143736217119</v>
      </c>
    </row>
    <row r="85" spans="1:30" s="53" customFormat="1" ht="12">
      <c r="A85" s="45"/>
      <c r="B85" s="45"/>
      <c r="C85" s="48" t="s">
        <v>99</v>
      </c>
      <c r="D85" s="209"/>
      <c r="E85" s="219"/>
      <c r="F85" s="71">
        <f>(('Emissions Assumptions'!D14/907185)*F19)+(('Emissions Assumptions'!D18/907185)*F20)+(('Emissions Assumptions'!D19/907185)*F19)</f>
        <v>0</v>
      </c>
      <c r="G85" s="71">
        <f>(('Emissions Assumptions'!E14/907185)*G19)+(('Emissions Assumptions'!E18/907185)*G20)+(('Emissions Assumptions'!E19/907185)*G19)</f>
        <v>0</v>
      </c>
      <c r="H85" s="71">
        <f>(('Emissions Assumptions'!F14/907185)*H19)+(('Emissions Assumptions'!F18/907185)*H20)+(('Emissions Assumptions'!F19/907185)*H19)</f>
        <v>-2.3706025645265291E-2</v>
      </c>
      <c r="I85" s="71">
        <f>(('Emissions Assumptions'!G14/907185)*I19)+(('Emissions Assumptions'!G18/907185)*I20)+(('Emissions Assumptions'!G19/907185)*I19)</f>
        <v>-2.4202954965084299E-2</v>
      </c>
      <c r="J85" s="71">
        <f>(('Emissions Assumptions'!H14/907185)*J19)+(('Emissions Assumptions'!H18/907185)*J20)+(('Emissions Assumptions'!H19/907185)*J19)</f>
        <v>-2.4399815116266245E-2</v>
      </c>
      <c r="K85" s="71">
        <f>(('Emissions Assumptions'!I14/907185)*K19)+(('Emissions Assumptions'!I18/907185)*K20)+(('Emissions Assumptions'!I19/907185)*K19)</f>
        <v>-2.4287129903239137E-2</v>
      </c>
      <c r="L85" s="71">
        <f>(('Emissions Assumptions'!J14/907185)*L19)+(('Emissions Assumptions'!J18/907185)*L20)+(('Emissions Assumptions'!J19/907185)*L19)</f>
        <v>-2.3855164110275526E-2</v>
      </c>
      <c r="M85" s="71">
        <f>(('Emissions Assumptions'!K14/907185)*M19)+(('Emissions Assumptions'!K18/907185)*M20)+(('Emissions Assumptions'!K19/907185)*M19)</f>
        <v>-2.3093916931164544E-2</v>
      </c>
      <c r="N85" s="71">
        <f>(('Emissions Assumptions'!L14/907185)*N19)+(('Emissions Assumptions'!L18/907185)*N20)+(('Emissions Assumptions'!L19/907185)*N19)</f>
        <v>-2.1993115239678895E-2</v>
      </c>
      <c r="O85" s="71">
        <f>(('Emissions Assumptions'!M14/907185)*O19)+(('Emissions Assumptions'!M18/907185)*O20)+(('Emissions Assumptions'!M19/907185)*O19)</f>
        <v>-2.0542206697096589E-2</v>
      </c>
      <c r="P85" s="71">
        <f>(('Emissions Assumptions'!N14/907185)*P19)+(('Emissions Assumptions'!N18/907185)*P20)+(('Emissions Assumptions'!N19/907185)*P19)</f>
        <v>-2.1290199005106106E-2</v>
      </c>
      <c r="Q85" s="71">
        <f>(('Emissions Assumptions'!O14/907185)*Q19)+(('Emissions Assumptions'!O18/907185)*Q20)+(('Emissions Assumptions'!O19/907185)*Q19)</f>
        <v>-2.1988911236135337E-2</v>
      </c>
      <c r="R85" s="71">
        <f>(('Emissions Assumptions'!P14/907185)*R19)+(('Emissions Assumptions'!P18/907185)*R20)+(('Emissions Assumptions'!P19/907185)*R19)</f>
        <v>-2.2636594296640888E-2</v>
      </c>
      <c r="S85" s="71">
        <f>(('Emissions Assumptions'!Q14/907185)*S19)+(('Emissions Assumptions'!Q18/907185)*S20)+(('Emissions Assumptions'!Q19/907185)*S19)</f>
        <v>-2.3231448841368376E-2</v>
      </c>
      <c r="T85" s="71">
        <f>(('Emissions Assumptions'!R14/907185)*T19)+(('Emissions Assumptions'!R18/907185)*T20)+(('Emissions Assumptions'!R19/907185)*T19)</f>
        <v>-2.3771623962921509E-2</v>
      </c>
      <c r="U85" s="71">
        <f>(('Emissions Assumptions'!S14/907185)*U19)+(('Emissions Assumptions'!S18/907185)*U20)+(('Emissions Assumptions'!S19/907185)*U19)</f>
        <v>-2.4255215849014359E-2</v>
      </c>
      <c r="V85" s="71">
        <f>(('Emissions Assumptions'!T14/907185)*V19)+(('Emissions Assumptions'!T18/907185)*V20)+(('Emissions Assumptions'!T19/907185)*V19)</f>
        <v>-2.4680266406638909E-2</v>
      </c>
      <c r="W85" s="71">
        <f>(('Emissions Assumptions'!U14/907185)*W19)+(('Emissions Assumptions'!U18/907185)*W20)+(('Emissions Assumptions'!U19/907185)*W19)</f>
        <v>-2.504476185236099E-2</v>
      </c>
      <c r="X85" s="71">
        <f>(('Emissions Assumptions'!V14/907185)*X19)+(('Emissions Assumptions'!V18/907185)*X20)+(('Emissions Assumptions'!V19/907185)*X19)</f>
        <v>-2.5346631267940428E-2</v>
      </c>
      <c r="Y85" s="71">
        <f>(('Emissions Assumptions'!W14/907185)*Y19)+(('Emissions Assumptions'!W18/907185)*Y20)+(('Emissions Assumptions'!W19/907185)*Y19)</f>
        <v>-2.5583745120452233E-2</v>
      </c>
      <c r="Z85" s="71">
        <f>(('Emissions Assumptions'!X14/907185)*Z19)+(('Emissions Assumptions'!X18/907185)*Z20)+(('Emissions Assumptions'!X19/907185)*Z19)</f>
        <v>-2.6777378829499394E-2</v>
      </c>
      <c r="AA85" s="71">
        <f>(('Emissions Assumptions'!Y14/907185)*AA19)+(('Emissions Assumptions'!Y18/907185)*AA20)+(('Emissions Assumptions'!Y19/907185)*AA19)</f>
        <v>-2.7994885212727486E-2</v>
      </c>
      <c r="AB85" s="71">
        <f>(('Emissions Assumptions'!Z14/907185)*AB19)+(('Emissions Assumptions'!Z18/907185)*AB20)+(('Emissions Assumptions'!Z19/907185)*AB19)</f>
        <v>-2.9236741723620167E-2</v>
      </c>
      <c r="AC85" s="388">
        <f>(('Emissions Assumptions'!AA14/907185)*AC19)+(('Emissions Assumptions'!AA18/907185)*AC20)+(('Emissions Assumptions'!AA19/907185)*AC19)</f>
        <v>-3.0503435364730689E-2</v>
      </c>
      <c r="AD85" s="357">
        <f t="shared" si="16"/>
        <v>-0.53842216757722727</v>
      </c>
    </row>
    <row r="86" spans="1:30" s="53" customFormat="1" ht="12">
      <c r="A86" s="45"/>
      <c r="B86" s="45"/>
      <c r="C86" s="48" t="s">
        <v>100</v>
      </c>
      <c r="D86" s="209"/>
      <c r="E86" s="219"/>
      <c r="F86" s="71">
        <f>('Emissions Assumptions'!D21/907185)*F20</f>
        <v>0</v>
      </c>
      <c r="G86" s="71">
        <f>('Emissions Assumptions'!E21/907185)*G20</f>
        <v>0</v>
      </c>
      <c r="H86" s="71">
        <f>('Emissions Assumptions'!F21/907185)*H20</f>
        <v>-19.738019308417304</v>
      </c>
      <c r="I86" s="71">
        <f>('Emissions Assumptions'!G21/907185)*I20</f>
        <v>-21.193152959536231</v>
      </c>
      <c r="J86" s="71">
        <f>('Emissions Assumptions'!H21/907185)*J20</f>
        <v>-22.591573259214311</v>
      </c>
      <c r="K86" s="71">
        <f>('Emissions Assumptions'!I21/907185)*K20</f>
        <v>-23.931184046522159</v>
      </c>
      <c r="L86" s="71">
        <f>('Emissions Assumptions'!J21/907185)*L20</f>
        <v>-25.209827999433763</v>
      </c>
      <c r="M86" s="71">
        <f>('Emissions Assumptions'!K21/907185)*M20</f>
        <v>-26.425285026847053</v>
      </c>
      <c r="N86" s="71">
        <f>('Emissions Assumptions'!L21/907185)*N20</f>
        <v>-27.575270620749624</v>
      </c>
      <c r="O86" s="71">
        <f>('Emissions Assumptions'!M21/907185)*O20</f>
        <v>-28.657434167578728</v>
      </c>
      <c r="P86" s="71">
        <f>('Emissions Assumptions'!N21/907185)*P20</f>
        <v>-30.15616195572904</v>
      </c>
      <c r="Q86" s="71">
        <f>('Emissions Assumptions'!O21/907185)*Q20</f>
        <v>-31.643547432766077</v>
      </c>
      <c r="R86" s="71">
        <f>('Emissions Assumptions'!P21/907185)*R20</f>
        <v>-33.118872701172059</v>
      </c>
      <c r="S86" s="71">
        <f>('Emissions Assumptions'!Q21/907185)*S20</f>
        <v>-34.581395684452922</v>
      </c>
      <c r="T86" s="71">
        <f>('Emissions Assumptions'!R21/907185)*T20</f>
        <v>-36.030349447138327</v>
      </c>
      <c r="U86" s="71">
        <f>('Emissions Assumptions'!S21/907185)*U20</f>
        <v>-37.464941497253101</v>
      </c>
      <c r="V86" s="71">
        <f>('Emissions Assumptions'!T21/907185)*V20</f>
        <v>-38.884353070831345</v>
      </c>
      <c r="W86" s="71">
        <f>('Emissions Assumptions'!U21/907185)*W20</f>
        <v>-40.287738398033575</v>
      </c>
      <c r="X86" s="71">
        <f>('Emissions Assumptions'!V21/907185)*X20</f>
        <v>-41.674223950417264</v>
      </c>
      <c r="Y86" s="71">
        <f>('Emissions Assumptions'!W21/907185)*Y20</f>
        <v>-43.042907668900845</v>
      </c>
      <c r="Z86" s="71">
        <f>('Emissions Assumptions'!X21/907185)*Z20</f>
        <v>-45.05111503991364</v>
      </c>
      <c r="AA86" s="71">
        <f>('Emissions Assumptions'!Y21/907185)*AA20</f>
        <v>-47.099486558346662</v>
      </c>
      <c r="AB86" s="71">
        <f>('Emissions Assumptions'!Z21/907185)*AB20</f>
        <v>-49.188825507148387</v>
      </c>
      <c r="AC86" s="388">
        <f>('Emissions Assumptions'!AA21/907185)*AC20</f>
        <v>-51.31995123492613</v>
      </c>
      <c r="AD86" s="357">
        <f t="shared" si="16"/>
        <v>-754.86561753532862</v>
      </c>
    </row>
    <row r="87" spans="1:30" s="53" customFormat="1" ht="12">
      <c r="A87" s="45"/>
      <c r="B87" s="45"/>
      <c r="C87" s="224" t="s">
        <v>647</v>
      </c>
      <c r="D87" s="209"/>
      <c r="E87" s="219"/>
      <c r="F87" s="71">
        <f>('Emissions Assumptions'!D25/907185)*F20</f>
        <v>0</v>
      </c>
      <c r="G87" s="71">
        <f>('Emissions Assumptions'!E25/907185)*G20</f>
        <v>0</v>
      </c>
      <c r="H87" s="71">
        <f>('Emissions Assumptions'!F25/907185)*H20</f>
        <v>-3.9400728627567698E-4</v>
      </c>
      <c r="I87" s="71">
        <f>('Emissions Assumptions'!G25/907185)*I20</f>
        <v>-4.3340801490324469E-4</v>
      </c>
      <c r="J87" s="71">
        <f>('Emissions Assumptions'!H25/907185)*J20</f>
        <v>-4.7359675810336362E-4</v>
      </c>
      <c r="K87" s="71">
        <f>('Emissions Assumptions'!I25/907185)*K20</f>
        <v>-5.2057287240199078E-4</v>
      </c>
      <c r="L87" s="71">
        <f>('Emissions Assumptions'!J25/907185)*L20</f>
        <v>-5.6287143115792257E-4</v>
      </c>
      <c r="M87" s="71">
        <f>('Emissions Assumptions'!K25/907185)*M20</f>
        <v>-6.0601596108897306E-4</v>
      </c>
      <c r="N87" s="71">
        <f>('Emissions Assumptions'!L25/907185)*N20</f>
        <v>-6.50023381618645E-4</v>
      </c>
      <c r="O87" s="71">
        <f>('Emissions Assumptions'!M25/907185)*O20</f>
        <v>-6.9491095055890944E-4</v>
      </c>
      <c r="P87" s="71">
        <f>('Emissions Assumptions'!N25/907185)*P20</f>
        <v>-7.4069627087798009E-4</v>
      </c>
      <c r="Q87" s="71">
        <f>('Emissions Assumptions'!O25/907185)*Q20</f>
        <v>-7.873972976034316E-4</v>
      </c>
      <c r="R87" s="71">
        <f>('Emissions Assumptions'!P25/907185)*R20</f>
        <v>-8.3503234486339228E-4</v>
      </c>
      <c r="S87" s="71">
        <f>('Emissions Assumptions'!Q25/907185)*S20</f>
        <v>-8.8362009306855167E-4</v>
      </c>
      <c r="T87" s="71">
        <f>('Emissions Assumptions'!R25/907185)*T20</f>
        <v>-9.3317959623781511E-4</v>
      </c>
      <c r="U87" s="71">
        <f>('Emissions Assumptions'!S25/907185)*U20</f>
        <v>-9.8373028947046338E-4</v>
      </c>
      <c r="V87" s="71">
        <f>('Emissions Assumptions'!T25/907185)*V20</f>
        <v>-1.0352919965677645E-3</v>
      </c>
      <c r="W87" s="71">
        <f>('Emissions Assumptions'!U25/907185)*W20</f>
        <v>-1.0878849378070123E-3</v>
      </c>
      <c r="X87" s="71">
        <f>('Emissions Assumptions'!V25/907185)*X20</f>
        <v>-1.1415297378710443E-3</v>
      </c>
      <c r="Y87" s="71">
        <f>('Emissions Assumptions'!W25/907185)*Y20</f>
        <v>-1.2099974044413732E-3</v>
      </c>
      <c r="Z87" s="71">
        <f>('Emissions Assumptions'!X25/907185)*Z20</f>
        <v>-1.2664509722439305E-3</v>
      </c>
      <c r="AA87" s="71">
        <f>('Emissions Assumptions'!Y25/907185)*AA20</f>
        <v>-1.3240336114025385E-3</v>
      </c>
      <c r="AB87" s="71">
        <f>('Emissions Assumptions'!Z25/907185)*AB20</f>
        <v>-1.3827679033443197E-3</v>
      </c>
      <c r="AC87" s="388">
        <f>('Emissions Assumptions'!AA25/907185)*AC20</f>
        <v>-1.442676881124936E-3</v>
      </c>
      <c r="AD87" s="357">
        <f t="shared" si="16"/>
        <v>-1.9389695993033279E-2</v>
      </c>
    </row>
    <row r="88" spans="1:30" s="53" customFormat="1" ht="12">
      <c r="A88" s="45"/>
      <c r="B88" s="45"/>
      <c r="C88" s="70" t="s">
        <v>115</v>
      </c>
      <c r="D88" s="209"/>
      <c r="E88" s="217"/>
      <c r="F88" s="45"/>
      <c r="G88" s="45"/>
      <c r="H88" s="45"/>
      <c r="I88" s="45"/>
      <c r="J88" s="45"/>
      <c r="K88" s="45"/>
      <c r="L88" s="45"/>
      <c r="M88" s="45"/>
      <c r="N88" s="45"/>
      <c r="O88" s="45"/>
      <c r="P88" s="45"/>
      <c r="Q88" s="45"/>
      <c r="R88" s="45"/>
      <c r="S88" s="45"/>
      <c r="T88" s="45"/>
      <c r="U88" s="45"/>
      <c r="V88" s="45"/>
      <c r="W88" s="45"/>
      <c r="X88" s="45"/>
      <c r="Y88" s="45"/>
      <c r="Z88" s="45"/>
      <c r="AA88" s="45"/>
      <c r="AB88" s="45"/>
      <c r="AC88" s="263"/>
      <c r="AD88" s="360"/>
    </row>
    <row r="89" spans="1:30" s="53" customFormat="1" ht="12">
      <c r="A89" s="45"/>
      <c r="B89" s="45"/>
      <c r="C89" s="48" t="s">
        <v>43</v>
      </c>
      <c r="D89" s="209"/>
      <c r="E89" s="220"/>
      <c r="F89" s="56">
        <f>-(F83*'Emissions Assumptions'!D12)</f>
        <v>0</v>
      </c>
      <c r="G89" s="56">
        <f>-(G83*'Emissions Assumptions'!E12)</f>
        <v>0</v>
      </c>
      <c r="H89" s="56">
        <f>-(H83*'Emissions Assumptions'!F12)</f>
        <v>11.585010899099965</v>
      </c>
      <c r="I89" s="56">
        <f>-(I83*'Emissions Assumptions'!G12)</f>
        <v>12.127066698082531</v>
      </c>
      <c r="J89" s="56">
        <f>-(J83*'Emissions Assumptions'!H12)</f>
        <v>12.577969937636755</v>
      </c>
      <c r="K89" s="56">
        <f>-(K83*'Emissions Assumptions'!I12)</f>
        <v>12.934754340761808</v>
      </c>
      <c r="L89" s="56">
        <f>-(L83*'Emissions Assumptions'!J12)</f>
        <v>13.194371440400591</v>
      </c>
      <c r="M89" s="56">
        <f>-(M83*'Emissions Assumptions'!K12)</f>
        <v>13.353688478348303</v>
      </c>
      <c r="N89" s="56">
        <f>-(N83*'Emissions Assumptions'!L12)</f>
        <v>13.409486252993341</v>
      </c>
      <c r="O89" s="56">
        <f>-(O83*'Emissions Assumptions'!M12)</f>
        <v>13.358456914684293</v>
      </c>
      <c r="P89" s="56">
        <f>-(P83*'Emissions Assumptions'!N12)</f>
        <v>14.113533240317672</v>
      </c>
      <c r="Q89" s="56">
        <f>-(Q83*'Emissions Assumptions'!O12)</f>
        <v>14.870441441879688</v>
      </c>
      <c r="R89" s="56">
        <f>-(R83*'Emissions Assumptions'!P12)</f>
        <v>15.629060446984877</v>
      </c>
      <c r="S89" s="56">
        <f>-(S83*'Emissions Assumptions'!Q12)</f>
        <v>16.389263607601968</v>
      </c>
      <c r="T89" s="56">
        <f>-(T83*'Emissions Assumptions'!R12)</f>
        <v>17.150918525457058</v>
      </c>
      <c r="U89" s="56">
        <f>-(U83*'Emissions Assumptions'!S12)</f>
        <v>17.91388687268303</v>
      </c>
      <c r="V89" s="56">
        <f>-(V83*'Emissions Assumptions'!T12)</f>
        <v>18.678024207595215</v>
      </c>
      <c r="W89" s="56">
        <f>-(W83*'Emissions Assumptions'!U12)</f>
        <v>19.44317978546982</v>
      </c>
      <c r="X89" s="56">
        <f>-(X83*'Emissions Assumptions'!V12)</f>
        <v>20.209196364198991</v>
      </c>
      <c r="Y89" s="56">
        <f>-(Y83*'Emissions Assumptions'!W12)</f>
        <v>20.975910004693425</v>
      </c>
      <c r="Z89" s="56">
        <f>-(Z83*'Emissions Assumptions'!X12)</f>
        <v>21.954560829334657</v>
      </c>
      <c r="AA89" s="56">
        <f>-(AA83*'Emissions Assumptions'!Y12)</f>
        <v>22.952784670468706</v>
      </c>
      <c r="AB89" s="56">
        <f>-(AB83*'Emissions Assumptions'!Z12)</f>
        <v>23.970972988425448</v>
      </c>
      <c r="AC89" s="389">
        <f>-(AC83*'Emissions Assumptions'!AA12)</f>
        <v>25.009525072741326</v>
      </c>
      <c r="AD89" s="360">
        <f t="shared" si="16"/>
        <v>371.80206301985953</v>
      </c>
    </row>
    <row r="90" spans="1:30" ht="13.5">
      <c r="A90" s="45"/>
      <c r="B90" s="45"/>
      <c r="C90" s="48" t="s">
        <v>119</v>
      </c>
      <c r="D90" s="209"/>
      <c r="E90" s="220"/>
      <c r="F90" s="56">
        <f>-(F84*'Emissions Assumptions'!D6)</f>
        <v>0</v>
      </c>
      <c r="G90" s="56">
        <f>-(G84*'Emissions Assumptions'!E6)</f>
        <v>0</v>
      </c>
      <c r="H90" s="56">
        <f>-(H84*'Emissions Assumptions'!F6)</f>
        <v>81.066977160116195</v>
      </c>
      <c r="I90" s="56">
        <f>-(I84*'Emissions Assumptions'!G6)</f>
        <v>82.89810018353478</v>
      </c>
      <c r="J90" s="56">
        <f>-(J84*'Emissions Assumptions'!H6)</f>
        <v>83.727523309192733</v>
      </c>
      <c r="K90" s="56">
        <f>-(K84*'Emissions Assumptions'!I6)</f>
        <v>83.523574200614007</v>
      </c>
      <c r="L90" s="56">
        <f>-(L84*'Emissions Assumptions'!J6)</f>
        <v>82.253714307822648</v>
      </c>
      <c r="M90" s="56">
        <f>-(M84*'Emissions Assumptions'!K6)</f>
        <v>79.884516887737334</v>
      </c>
      <c r="N90" s="56">
        <f>-(N84*'Emissions Assumptions'!L6)</f>
        <v>76.381644491867263</v>
      </c>
      <c r="O90" s="56">
        <f>-(O84*'Emissions Assumptions'!M6)</f>
        <v>71.709825908792681</v>
      </c>
      <c r="P90" s="56">
        <f>-(P84*'Emissions Assumptions'!N6)</f>
        <v>75.161535989075603</v>
      </c>
      <c r="Q90" s="56">
        <f>-(Q84*'Emissions Assumptions'!O6)</f>
        <v>78.547213836242236</v>
      </c>
      <c r="R90" s="56">
        <f>-(R84*'Emissions Assumptions'!P6)</f>
        <v>81.863933539965956</v>
      </c>
      <c r="S90" s="56">
        <f>-(S84*'Emissions Assumptions'!Q6)</f>
        <v>85.108678566400357</v>
      </c>
      <c r="T90" s="56">
        <f>-(T84*'Emissions Assumptions'!R6)</f>
        <v>88.278339303602579</v>
      </c>
      <c r="U90" s="56">
        <f>-(U84*'Emissions Assumptions'!S6)</f>
        <v>91.369710545022826</v>
      </c>
      <c r="V90" s="56">
        <f>-(V84*'Emissions Assumptions'!T6)</f>
        <v>94.379488909565097</v>
      </c>
      <c r="W90" s="56">
        <f>-(W84*'Emissions Assumptions'!U6)</f>
        <v>97.304270196687852</v>
      </c>
      <c r="X90" s="56">
        <f>-(X84*'Emissions Assumptions'!V6)</f>
        <v>100.14054667497862</v>
      </c>
      <c r="Y90" s="56">
        <f>-(Y84*'Emissions Assumptions'!W6)</f>
        <v>102.88470430259943</v>
      </c>
      <c r="Z90" s="56">
        <f>-(Z84*'Emissions Assumptions'!X6)</f>
        <v>107.6848870210693</v>
      </c>
      <c r="AA90" s="56">
        <f>-(AA84*'Emissions Assumptions'!Y6)</f>
        <v>112.58107339390851</v>
      </c>
      <c r="AB90" s="56">
        <f>-(AB84*'Emissions Assumptions'!Z6)</f>
        <v>117.57518349420459</v>
      </c>
      <c r="AC90" s="389">
        <f>-(AC84*'Emissions Assumptions'!AA6)</f>
        <v>122.66917579650656</v>
      </c>
      <c r="AD90" s="360">
        <f t="shared" si="16"/>
        <v>1996.994618019507</v>
      </c>
    </row>
    <row r="91" spans="1:30" ht="13.5">
      <c r="A91" s="45"/>
      <c r="B91" s="45"/>
      <c r="C91" s="48" t="s">
        <v>117</v>
      </c>
      <c r="D91" s="209"/>
      <c r="E91" s="220"/>
      <c r="F91" s="56">
        <f>-(F85*'Emissions Assumptions'!D15)</f>
        <v>0</v>
      </c>
      <c r="G91" s="56">
        <f>-(G85*'Emissions Assumptions'!E15)</f>
        <v>0</v>
      </c>
      <c r="H91" s="56">
        <f>-(H85*'Emissions Assumptions'!F15)</f>
        <v>6874.7474371269345</v>
      </c>
      <c r="I91" s="56">
        <f>-(I85*'Emissions Assumptions'!G15)</f>
        <v>7018.8569398744467</v>
      </c>
      <c r="J91" s="56">
        <f>-(J85*'Emissions Assumptions'!H15)</f>
        <v>7075.9463837172107</v>
      </c>
      <c r="K91" s="56">
        <f>-(K85*'Emissions Assumptions'!I15)</f>
        <v>7043.2676719393494</v>
      </c>
      <c r="L91" s="56">
        <f>-(L85*'Emissions Assumptions'!J15)</f>
        <v>6917.9975919799026</v>
      </c>
      <c r="M91" s="56">
        <f>-(M85*'Emissions Assumptions'!K15)</f>
        <v>6697.235910037718</v>
      </c>
      <c r="N91" s="56">
        <f>-(N85*'Emissions Assumptions'!L15)</f>
        <v>6378.0034195068793</v>
      </c>
      <c r="O91" s="56">
        <f>-(O85*'Emissions Assumptions'!M15)</f>
        <v>5957.2399421580112</v>
      </c>
      <c r="P91" s="56">
        <f>-(P85*'Emissions Assumptions'!N15)</f>
        <v>6174.1577114807706</v>
      </c>
      <c r="Q91" s="56">
        <f>-(Q85*'Emissions Assumptions'!O15)</f>
        <v>6376.7842584792479</v>
      </c>
      <c r="R91" s="56">
        <f>-(R85*'Emissions Assumptions'!P15)</f>
        <v>6564.6123460258577</v>
      </c>
      <c r="S91" s="56">
        <f>-(S85*'Emissions Assumptions'!Q15)</f>
        <v>6737.1201639968294</v>
      </c>
      <c r="T91" s="56">
        <f>-(T85*'Emissions Assumptions'!R15)</f>
        <v>6893.7709492472377</v>
      </c>
      <c r="U91" s="56">
        <f>-(U85*'Emissions Assumptions'!S15)</f>
        <v>7034.0125962141638</v>
      </c>
      <c r="V91" s="56">
        <f>-(V85*'Emissions Assumptions'!T15)</f>
        <v>7157.2772579252833</v>
      </c>
      <c r="W91" s="56">
        <f>-(W85*'Emissions Assumptions'!U15)</f>
        <v>7262.9809371846868</v>
      </c>
      <c r="X91" s="56">
        <f>-(X85*'Emissions Assumptions'!V15)</f>
        <v>7350.5230677027239</v>
      </c>
      <c r="Y91" s="56">
        <f>-(Y85*'Emissions Assumptions'!W15)</f>
        <v>7419.2860849311473</v>
      </c>
      <c r="Z91" s="56">
        <f>-(Z85*'Emissions Assumptions'!X15)</f>
        <v>7765.439860554824</v>
      </c>
      <c r="AA91" s="56">
        <f>-(AA85*'Emissions Assumptions'!Y15)</f>
        <v>8118.5167116909706</v>
      </c>
      <c r="AB91" s="56">
        <f>-(AB85*'Emissions Assumptions'!Z15)</f>
        <v>8478.6550998498478</v>
      </c>
      <c r="AC91" s="389">
        <f>-(AC85*'Emissions Assumptions'!AA15)</f>
        <v>8845.9962557718991</v>
      </c>
      <c r="AD91" s="360">
        <f t="shared" si="16"/>
        <v>156142.42859739595</v>
      </c>
    </row>
    <row r="92" spans="1:30" s="53" customFormat="1" ht="13.5">
      <c r="A92" s="45"/>
      <c r="B92" s="45"/>
      <c r="C92" s="48" t="s">
        <v>118</v>
      </c>
      <c r="D92" s="209"/>
      <c r="E92" s="220"/>
      <c r="F92" s="56">
        <f>-(F86*'Emissions Assumptions'!D22)</f>
        <v>0</v>
      </c>
      <c r="G92" s="56">
        <f>-(G86*'Emissions Assumptions'!E22)</f>
        <v>0</v>
      </c>
      <c r="H92" s="56">
        <f>-(H86*'Emissions Assumptions'!F22)</f>
        <v>450.02684023191455</v>
      </c>
      <c r="I92" s="56">
        <f>-(I86*'Emissions Assumptions'!G22)</f>
        <v>493.80046395719421</v>
      </c>
      <c r="J92" s="56">
        <f>-(J86*'Emissions Assumptions'!H22)</f>
        <v>537.67944356930059</v>
      </c>
      <c r="K92" s="56">
        <f>-(K86*'Emissions Assumptions'!I22)</f>
        <v>581.52777233048846</v>
      </c>
      <c r="L92" s="56">
        <f>-(L86*'Emissions Assumptions'!J22)</f>
        <v>625.20373438595732</v>
      </c>
      <c r="M92" s="56">
        <f>-(M86*'Emissions Assumptions'!K22)</f>
        <v>668.55971117923048</v>
      </c>
      <c r="N92" s="56">
        <f>-(N86*'Emissions Assumptions'!L22)</f>
        <v>711.44198201534027</v>
      </c>
      <c r="O92" s="56">
        <f>-(O86*'Emissions Assumptions'!M22)</f>
        <v>753.69051860732054</v>
      </c>
      <c r="P92" s="56">
        <f>-(P86*'Emissions Assumptions'!N22)</f>
        <v>814.21637280468406</v>
      </c>
      <c r="Q92" s="56">
        <f>-(Q86*'Emissions Assumptions'!O22)</f>
        <v>873.36190914434383</v>
      </c>
      <c r="R92" s="56">
        <f>-(R86*'Emissions Assumptions'!P22)</f>
        <v>937.26409744316925</v>
      </c>
      <c r="S92" s="56">
        <f>-(S86*'Emissions Assumptions'!Q22)</f>
        <v>999.40233528068939</v>
      </c>
      <c r="T92" s="56">
        <f>-(T86*'Emissions Assumptions'!R22)</f>
        <v>1066.4983436352945</v>
      </c>
      <c r="U92" s="56">
        <f>-(U86*'Emissions Assumptions'!S22)</f>
        <v>1131.4412332170436</v>
      </c>
      <c r="V92" s="56">
        <f>-(V86*'Emissions Assumptions'!T22)</f>
        <v>1201.5265098886885</v>
      </c>
      <c r="W92" s="56">
        <f>-(W86*'Emissions Assumptions'!U22)</f>
        <v>1269.0637595380576</v>
      </c>
      <c r="X92" s="56">
        <f>-(X86*'Emissions Assumptions'!V22)</f>
        <v>1337.7425888083942</v>
      </c>
      <c r="Y92" s="56">
        <f>-(Y86*'Emissions Assumptions'!W22)</f>
        <v>1411.8073715399476</v>
      </c>
      <c r="Z92" s="56">
        <f>-(Z86*'Emissions Assumptions'!X22)</f>
        <v>1504.7072423331156</v>
      </c>
      <c r="AA92" s="56">
        <f>-(AA86*'Emissions Assumptions'!Y22)</f>
        <v>1606.0924916396211</v>
      </c>
      <c r="AB92" s="56">
        <f>-(AB86*'Emissions Assumptions'!Z22)</f>
        <v>1706.8522450980493</v>
      </c>
      <c r="AC92" s="389">
        <f>-(AC86*'Emissions Assumptions'!AA22)</f>
        <v>1816.7262737163849</v>
      </c>
      <c r="AD92" s="360">
        <f t="shared" si="16"/>
        <v>22498.63324036423</v>
      </c>
    </row>
    <row r="93" spans="1:30" s="53" customFormat="1" ht="12">
      <c r="A93" s="45"/>
      <c r="B93" s="45"/>
      <c r="C93" s="224" t="s">
        <v>645</v>
      </c>
      <c r="D93" s="209"/>
      <c r="E93" s="220"/>
      <c r="F93" s="56">
        <f>-(F87*'Emissions Assumptions'!D26)</f>
        <v>0</v>
      </c>
      <c r="G93" s="56">
        <f>-(G87*'Emissions Assumptions'!E26)</f>
        <v>0</v>
      </c>
      <c r="H93" s="56">
        <f>-(H87*'Emissions Assumptions'!F26)</f>
        <v>12.214225874545987</v>
      </c>
      <c r="I93" s="56">
        <f>-(I87*'Emissions Assumptions'!G26)</f>
        <v>13.435648462000586</v>
      </c>
      <c r="J93" s="56">
        <f>-(J87*'Emissions Assumptions'!H26)</f>
        <v>14.681499501204271</v>
      </c>
      <c r="K93" s="56">
        <f>-(K87*'Emissions Assumptions'!I26)</f>
        <v>16.137759044461713</v>
      </c>
      <c r="L93" s="56">
        <f>-(L87*'Emissions Assumptions'!J26)</f>
        <v>17.4490143658956</v>
      </c>
      <c r="M93" s="56">
        <f>-(M87*'Emissions Assumptions'!K26)</f>
        <v>18.786494793758166</v>
      </c>
      <c r="N93" s="56">
        <f>-(N87*'Emissions Assumptions'!L26)</f>
        <v>20.150724830177996</v>
      </c>
      <c r="O93" s="56">
        <f>-(O87*'Emissions Assumptions'!M26)</f>
        <v>21.542239467326194</v>
      </c>
      <c r="P93" s="56">
        <f>-(P87*'Emissions Assumptions'!N26)</f>
        <v>22.961584397217383</v>
      </c>
      <c r="Q93" s="56">
        <f>-(Q87*'Emissions Assumptions'!O26)</f>
        <v>24.40931622570638</v>
      </c>
      <c r="R93" s="56">
        <f>-(R87*'Emissions Assumptions'!P26)</f>
        <v>25.88600269076516</v>
      </c>
      <c r="S93" s="56">
        <f>-(S87*'Emissions Assumptions'!Q26)</f>
        <v>27.392222885125101</v>
      </c>
      <c r="T93" s="56">
        <f>-(T87*'Emissions Assumptions'!R26)</f>
        <v>28.928567483372269</v>
      </c>
      <c r="U93" s="56">
        <f>-(U87*'Emissions Assumptions'!S26)</f>
        <v>30.495638973584363</v>
      </c>
      <c r="V93" s="56">
        <f>-(V87*'Emissions Assumptions'!T26)</f>
        <v>32.0940518936007</v>
      </c>
      <c r="W93" s="56">
        <f>-(W87*'Emissions Assumptions'!U26)</f>
        <v>33.724433072017383</v>
      </c>
      <c r="X93" s="56">
        <f>-(X87*'Emissions Assumptions'!V26)</f>
        <v>35.387421874002371</v>
      </c>
      <c r="Y93" s="56">
        <f>-(Y87*'Emissions Assumptions'!W26)</f>
        <v>37.50991953768257</v>
      </c>
      <c r="Z93" s="56">
        <f>-(Z87*'Emissions Assumptions'!X26)</f>
        <v>39.259980139561847</v>
      </c>
      <c r="AA93" s="56">
        <f>-(AA87*'Emissions Assumptions'!Y26)</f>
        <v>41.045041953478695</v>
      </c>
      <c r="AB93" s="56">
        <f>-(AB87*'Emissions Assumptions'!Z26)</f>
        <v>42.865805003673913</v>
      </c>
      <c r="AC93" s="389">
        <f>-(AC87*'Emissions Assumptions'!AA26)</f>
        <v>44.722983314873012</v>
      </c>
      <c r="AD93" s="360">
        <f t="shared" si="16"/>
        <v>601.08057578403168</v>
      </c>
    </row>
    <row r="94" spans="1:30" s="5" customFormat="1" ht="12">
      <c r="A94" s="58"/>
      <c r="B94" s="58"/>
      <c r="C94" s="62" t="s">
        <v>591</v>
      </c>
      <c r="D94" s="212"/>
      <c r="E94" s="220"/>
      <c r="F94" s="83">
        <f>SUM(F89:F93)</f>
        <v>0</v>
      </c>
      <c r="G94" s="83">
        <f t="shared" ref="G94:AC94" si="20">SUM(G89:G93)</f>
        <v>0</v>
      </c>
      <c r="H94" s="83">
        <f t="shared" si="20"/>
        <v>7429.6404912926109</v>
      </c>
      <c r="I94" s="83">
        <f t="shared" si="20"/>
        <v>7621.1182191752587</v>
      </c>
      <c r="J94" s="83">
        <f t="shared" si="20"/>
        <v>7724.6128200345456</v>
      </c>
      <c r="K94" s="83">
        <f t="shared" si="20"/>
        <v>7737.3915318556747</v>
      </c>
      <c r="L94" s="83">
        <f t="shared" si="20"/>
        <v>7656.098426479979</v>
      </c>
      <c r="M94" s="83">
        <f t="shared" si="20"/>
        <v>7477.820321376792</v>
      </c>
      <c r="N94" s="83">
        <f t="shared" si="20"/>
        <v>7199.3872570972571</v>
      </c>
      <c r="O94" s="83">
        <f t="shared" si="20"/>
        <v>6817.5409830561348</v>
      </c>
      <c r="P94" s="83">
        <f t="shared" si="20"/>
        <v>7100.6107379120649</v>
      </c>
      <c r="Q94" s="83">
        <f t="shared" si="20"/>
        <v>7367.9731391274199</v>
      </c>
      <c r="R94" s="83">
        <f t="shared" si="20"/>
        <v>7625.2554401467432</v>
      </c>
      <c r="S94" s="83">
        <f t="shared" si="20"/>
        <v>7865.4126643366462</v>
      </c>
      <c r="T94" s="83">
        <f t="shared" si="20"/>
        <v>8094.6271181949642</v>
      </c>
      <c r="U94" s="83">
        <f t="shared" si="20"/>
        <v>8305.2330658224964</v>
      </c>
      <c r="V94" s="83">
        <f t="shared" si="20"/>
        <v>8503.9553328247312</v>
      </c>
      <c r="W94" s="83">
        <f t="shared" si="20"/>
        <v>8682.5165797769187</v>
      </c>
      <c r="X94" s="83">
        <f t="shared" si="20"/>
        <v>8844.0028214242975</v>
      </c>
      <c r="Y94" s="83">
        <f t="shared" si="20"/>
        <v>8992.4639903160696</v>
      </c>
      <c r="Z94" s="83">
        <f t="shared" si="20"/>
        <v>9439.0465308779058</v>
      </c>
      <c r="AA94" s="83">
        <f t="shared" si="20"/>
        <v>9901.1881033484478</v>
      </c>
      <c r="AB94" s="83">
        <f t="shared" si="20"/>
        <v>10369.9193064342</v>
      </c>
      <c r="AC94" s="272">
        <f t="shared" si="20"/>
        <v>10855.124213672405</v>
      </c>
      <c r="AD94" s="347">
        <f t="shared" si="16"/>
        <v>181610.93909458359</v>
      </c>
    </row>
    <row r="95" spans="1:30" s="53" customFormat="1" ht="12">
      <c r="A95" s="45"/>
      <c r="B95" s="45"/>
      <c r="D95" s="209"/>
      <c r="E95" s="217"/>
      <c r="F95" s="45"/>
      <c r="G95" s="57"/>
      <c r="AC95" s="263"/>
      <c r="AD95" s="360"/>
    </row>
    <row r="96" spans="1:30" s="53" customFormat="1" ht="12">
      <c r="A96" s="45"/>
      <c r="B96" s="45"/>
      <c r="C96" s="64" t="s">
        <v>91</v>
      </c>
      <c r="D96" s="209"/>
      <c r="E96" s="217"/>
      <c r="F96" s="45"/>
      <c r="G96" s="57"/>
      <c r="AC96" s="263"/>
      <c r="AD96" s="360"/>
    </row>
    <row r="97" spans="1:30" s="53" customFormat="1" ht="24">
      <c r="A97" s="45"/>
      <c r="B97" s="45"/>
      <c r="C97" s="203" t="s">
        <v>132</v>
      </c>
      <c r="D97" s="259">
        <f>'Price Assumptions'!$B$22</f>
        <v>0.2</v>
      </c>
      <c r="E97" s="217"/>
      <c r="G97" s="96"/>
      <c r="H97" s="96"/>
      <c r="I97" s="96"/>
      <c r="J97" s="96"/>
      <c r="K97" s="96"/>
      <c r="L97" s="96"/>
      <c r="M97" s="96"/>
      <c r="N97" s="96"/>
      <c r="O97" s="96"/>
      <c r="P97" s="96"/>
      <c r="Q97" s="96"/>
      <c r="R97" s="96"/>
      <c r="S97" s="96"/>
      <c r="T97" s="96"/>
      <c r="U97" s="96"/>
      <c r="V97" s="96"/>
      <c r="W97" s="96"/>
      <c r="X97" s="96"/>
      <c r="Y97" s="96"/>
      <c r="AC97" s="263"/>
      <c r="AD97" s="360"/>
    </row>
    <row r="98" spans="1:30" s="53" customFormat="1" ht="24">
      <c r="A98" s="45"/>
      <c r="B98" s="45"/>
      <c r="C98" s="283" t="s">
        <v>503</v>
      </c>
      <c r="D98" s="322">
        <f>'Price Assumptions'!$B$21</f>
        <v>5.4413625171743009E-2</v>
      </c>
      <c r="E98" s="217"/>
      <c r="G98" s="95"/>
      <c r="H98" s="95"/>
      <c r="I98" s="95"/>
      <c r="J98" s="95"/>
      <c r="K98" s="95"/>
      <c r="L98" s="95"/>
      <c r="M98" s="95"/>
      <c r="N98" s="95"/>
      <c r="O98" s="95"/>
      <c r="P98" s="95"/>
      <c r="Q98" s="95"/>
      <c r="R98" s="95"/>
      <c r="S98" s="95"/>
      <c r="T98" s="95"/>
      <c r="U98" s="95"/>
      <c r="V98" s="95"/>
      <c r="W98" s="95"/>
      <c r="X98" s="95"/>
      <c r="Y98" s="95"/>
      <c r="AC98" s="263"/>
      <c r="AD98" s="360"/>
    </row>
    <row r="99" spans="1:30" s="5" customFormat="1" ht="13.5" customHeight="1">
      <c r="A99" s="58"/>
      <c r="B99" s="58"/>
      <c r="C99" s="87" t="s">
        <v>504</v>
      </c>
      <c r="D99" s="212"/>
      <c r="E99" s="220"/>
      <c r="F99" s="83">
        <f>$D$98*$D$97*(F12+F13)</f>
        <v>0</v>
      </c>
      <c r="G99" s="83">
        <f t="shared" ref="G99:AC99" si="21">$D$98*$D$97*(G12+G13)</f>
        <v>0</v>
      </c>
      <c r="H99" s="83">
        <f t="shared" si="21"/>
        <v>19.044768810110057</v>
      </c>
      <c r="I99" s="83">
        <f t="shared" si="21"/>
        <v>20.94924569112106</v>
      </c>
      <c r="J99" s="83">
        <f t="shared" si="21"/>
        <v>22.891812109752287</v>
      </c>
      <c r="K99" s="83">
        <f t="shared" si="21"/>
        <v>24.873229856756133</v>
      </c>
      <c r="L99" s="83">
        <f t="shared" si="21"/>
        <v>26.894275958700064</v>
      </c>
      <c r="M99" s="83">
        <f t="shared" si="21"/>
        <v>28.955742982682871</v>
      </c>
      <c r="N99" s="83">
        <f t="shared" si="21"/>
        <v>31.058439347145356</v>
      </c>
      <c r="O99" s="83">
        <f t="shared" si="21"/>
        <v>33.203189638897051</v>
      </c>
      <c r="P99" s="83">
        <f t="shared" si="21"/>
        <v>35.390834936483813</v>
      </c>
      <c r="Q99" s="83">
        <f t="shared" si="21"/>
        <v>37.622233140022296</v>
      </c>
      <c r="R99" s="83">
        <f t="shared" si="21"/>
        <v>39.898259307631541</v>
      </c>
      <c r="S99" s="83">
        <f t="shared" si="21"/>
        <v>42.21980599859296</v>
      </c>
      <c r="T99" s="83">
        <f t="shared" si="21"/>
        <v>44.587783623373639</v>
      </c>
      <c r="U99" s="83">
        <f t="shared" si="21"/>
        <v>47.003120800649917</v>
      </c>
      <c r="V99" s="83">
        <f t="shared" si="21"/>
        <v>49.466764721471719</v>
      </c>
      <c r="W99" s="83">
        <f t="shared" si="21"/>
        <v>51.979681520709974</v>
      </c>
      <c r="X99" s="83">
        <f t="shared" si="21"/>
        <v>54.542856655932965</v>
      </c>
      <c r="Y99" s="83">
        <f t="shared" si="21"/>
        <v>57.157295293860443</v>
      </c>
      <c r="Z99" s="83">
        <f t="shared" si="21"/>
        <v>59.824022704546458</v>
      </c>
      <c r="AA99" s="83">
        <f t="shared" si="21"/>
        <v>62.544084663446171</v>
      </c>
      <c r="AB99" s="83">
        <f t="shared" si="21"/>
        <v>65.318547861523925</v>
      </c>
      <c r="AC99" s="272">
        <f t="shared" si="21"/>
        <v>68.148500323563212</v>
      </c>
      <c r="AD99" s="360">
        <f t="shared" si="16"/>
        <v>923.5744959469738</v>
      </c>
    </row>
    <row r="100" spans="1:30" s="110" customFormat="1" ht="12">
      <c r="A100" s="107"/>
      <c r="B100" s="107"/>
      <c r="C100" s="108"/>
      <c r="D100" s="208"/>
      <c r="E100" s="216"/>
      <c r="F100" s="109"/>
      <c r="G100" s="109"/>
      <c r="H100" s="109"/>
      <c r="I100" s="109"/>
      <c r="J100" s="109"/>
      <c r="K100" s="109"/>
      <c r="L100" s="109"/>
      <c r="M100" s="109"/>
      <c r="N100" s="109"/>
      <c r="O100" s="109"/>
      <c r="P100" s="109"/>
      <c r="Q100" s="109"/>
      <c r="R100" s="109"/>
      <c r="S100" s="109"/>
      <c r="T100" s="109"/>
      <c r="U100" s="109"/>
      <c r="V100" s="109"/>
      <c r="W100" s="109"/>
      <c r="X100" s="109"/>
      <c r="Y100" s="109"/>
      <c r="Z100" s="109"/>
      <c r="AC100" s="262"/>
      <c r="AD100" s="337"/>
    </row>
    <row r="101" spans="1:30" s="110" customFormat="1" ht="12">
      <c r="A101" s="58" t="s">
        <v>345</v>
      </c>
      <c r="B101" s="58"/>
      <c r="C101" s="108"/>
      <c r="D101" s="208"/>
      <c r="E101" s="216"/>
      <c r="F101" s="109"/>
      <c r="G101" s="109"/>
      <c r="H101" s="109"/>
      <c r="I101" s="109"/>
      <c r="J101" s="109"/>
      <c r="K101" s="109"/>
      <c r="L101" s="109"/>
      <c r="M101" s="109"/>
      <c r="N101" s="109"/>
      <c r="O101" s="109"/>
      <c r="P101" s="109"/>
      <c r="Q101" s="109"/>
      <c r="R101" s="109"/>
      <c r="S101" s="109"/>
      <c r="T101" s="109"/>
      <c r="U101" s="109"/>
      <c r="V101" s="109"/>
      <c r="W101" s="109"/>
      <c r="X101" s="109"/>
      <c r="Y101" s="109"/>
      <c r="Z101" s="109"/>
      <c r="AC101" s="262"/>
      <c r="AD101" s="337"/>
    </row>
    <row r="102" spans="1:30" s="110" customFormat="1" ht="12">
      <c r="A102" s="58"/>
      <c r="B102" s="58"/>
      <c r="C102" s="46" t="s">
        <v>39</v>
      </c>
      <c r="D102" s="210"/>
      <c r="E102" s="217"/>
      <c r="F102" s="45"/>
      <c r="G102" s="109"/>
      <c r="H102" s="109"/>
      <c r="I102" s="109"/>
      <c r="J102" s="109"/>
      <c r="K102" s="109"/>
      <c r="L102" s="109"/>
      <c r="M102" s="109"/>
      <c r="N102" s="109"/>
      <c r="O102" s="109"/>
      <c r="P102" s="109"/>
      <c r="Q102" s="109"/>
      <c r="R102" s="109"/>
      <c r="S102" s="109"/>
      <c r="T102" s="109"/>
      <c r="U102" s="109"/>
      <c r="V102" s="109"/>
      <c r="W102" s="109"/>
      <c r="X102" s="109"/>
      <c r="Y102" s="109"/>
      <c r="Z102" s="109"/>
      <c r="AC102" s="262"/>
      <c r="AD102" s="337"/>
    </row>
    <row r="103" spans="1:30" s="110" customFormat="1" ht="12">
      <c r="A103" s="58"/>
      <c r="B103" s="58" t="s">
        <v>222</v>
      </c>
      <c r="D103" s="210"/>
      <c r="E103" s="217"/>
      <c r="G103" s="109"/>
      <c r="H103" s="109"/>
      <c r="I103" s="109"/>
      <c r="J103" s="109"/>
      <c r="K103" s="109"/>
      <c r="L103" s="109"/>
      <c r="M103" s="109"/>
      <c r="N103" s="109"/>
      <c r="O103" s="109"/>
      <c r="P103" s="109"/>
      <c r="Q103" s="109"/>
      <c r="R103" s="109"/>
      <c r="S103" s="109"/>
      <c r="T103" s="109"/>
      <c r="U103" s="109"/>
      <c r="V103" s="109"/>
      <c r="W103" s="109"/>
      <c r="X103" s="109"/>
      <c r="Y103" s="109"/>
      <c r="Z103" s="109"/>
      <c r="AC103" s="262"/>
      <c r="AD103" s="337"/>
    </row>
    <row r="104" spans="1:30" s="110" customFormat="1" ht="12">
      <c r="A104" s="58"/>
      <c r="B104" s="444" t="s">
        <v>587</v>
      </c>
      <c r="C104" s="78" t="s">
        <v>518</v>
      </c>
      <c r="D104" s="210"/>
      <c r="E104" s="217"/>
      <c r="F104" s="55"/>
      <c r="G104" s="55"/>
      <c r="H104" s="55"/>
      <c r="I104" s="55"/>
      <c r="J104" s="55"/>
      <c r="K104" s="55"/>
      <c r="L104" s="55"/>
      <c r="M104" s="55"/>
      <c r="N104" s="55"/>
      <c r="O104" s="55"/>
      <c r="P104" s="55"/>
      <c r="Q104" s="55"/>
      <c r="R104" s="55"/>
      <c r="S104" s="55"/>
      <c r="T104" s="55"/>
      <c r="U104" s="55"/>
      <c r="V104" s="55"/>
      <c r="W104" s="55"/>
      <c r="X104" s="55"/>
      <c r="Y104" s="55"/>
      <c r="Z104" s="55"/>
      <c r="AA104" s="55"/>
      <c r="AB104" s="55"/>
      <c r="AC104" s="270"/>
      <c r="AD104" s="353"/>
    </row>
    <row r="105" spans="1:30" s="110" customFormat="1" ht="12">
      <c r="A105" s="58"/>
      <c r="C105" s="78" t="s">
        <v>542</v>
      </c>
      <c r="D105" s="210">
        <f>'Mode Operating Assumptions'!$D$195</f>
        <v>1.8722590666405648E-7</v>
      </c>
      <c r="E105" s="217"/>
      <c r="F105" s="71">
        <f>$D105*(F$12+F$13)</f>
        <v>0</v>
      </c>
      <c r="G105" s="71">
        <f t="shared" ref="G105:AC105" si="22">$D105*(G$12+G$13)</f>
        <v>0</v>
      </c>
      <c r="H105" s="71">
        <f t="shared" si="22"/>
        <v>3.2764533666209886E-4</v>
      </c>
      <c r="I105" s="71">
        <f t="shared" si="22"/>
        <v>3.6040987032830873E-4</v>
      </c>
      <c r="J105" s="71">
        <f t="shared" si="22"/>
        <v>3.9382969466784283E-4</v>
      </c>
      <c r="K105" s="71">
        <f t="shared" si="22"/>
        <v>4.279179154941675E-4</v>
      </c>
      <c r="L105" s="71">
        <f t="shared" si="22"/>
        <v>4.6268790073701881E-4</v>
      </c>
      <c r="M105" s="71">
        <f t="shared" si="22"/>
        <v>4.9815328568472716E-4</v>
      </c>
      <c r="N105" s="71">
        <f t="shared" si="22"/>
        <v>5.3432797833138999E-4</v>
      </c>
      <c r="O105" s="71">
        <f t="shared" si="22"/>
        <v>5.7122616483098532E-4</v>
      </c>
      <c r="P105" s="71">
        <f t="shared" si="22"/>
        <v>6.0886231506057328E-4</v>
      </c>
      <c r="Q105" s="71">
        <f t="shared" si="22"/>
        <v>6.4725118829475278E-4</v>
      </c>
      <c r="R105" s="71">
        <f t="shared" si="22"/>
        <v>6.8640783899361557E-4</v>
      </c>
      <c r="S105" s="71">
        <f t="shared" si="22"/>
        <v>7.2634762270645554E-4</v>
      </c>
      <c r="T105" s="71">
        <f t="shared" si="22"/>
        <v>7.6708620209355288E-4</v>
      </c>
      <c r="U105" s="71">
        <f t="shared" si="22"/>
        <v>8.0863955306839175E-4</v>
      </c>
      <c r="V105" s="71">
        <f t="shared" si="22"/>
        <v>8.5102397106272753E-4</v>
      </c>
      <c r="W105" s="71">
        <f t="shared" si="22"/>
        <v>8.9425607741695019E-4</v>
      </c>
      <c r="X105" s="71">
        <f t="shared" si="22"/>
        <v>9.3835282589825695E-4</v>
      </c>
      <c r="Y105" s="71">
        <f t="shared" si="22"/>
        <v>9.8333150934919026E-4</v>
      </c>
      <c r="Z105" s="71">
        <f t="shared" si="22"/>
        <v>1.029209766469142E-3</v>
      </c>
      <c r="AA105" s="71">
        <f t="shared" si="22"/>
        <v>1.0760055887314925E-3</v>
      </c>
      <c r="AB105" s="71">
        <f t="shared" si="22"/>
        <v>1.1237373274390905E-3</v>
      </c>
      <c r="AC105" s="388">
        <f t="shared" si="22"/>
        <v>1.1724237009208404E-3</v>
      </c>
      <c r="AD105" s="353">
        <f t="shared" ref="AD105:AD107" si="23">SUM(F105:AC105)</f>
        <v>1.5889133634241572E-2</v>
      </c>
    </row>
    <row r="106" spans="1:30" s="110" customFormat="1" ht="12">
      <c r="A106" s="58"/>
      <c r="C106" s="49" t="s">
        <v>40</v>
      </c>
      <c r="D106" s="308">
        <f>-'Mode Operating Assumptions'!$C$179</f>
        <v>-6200000</v>
      </c>
      <c r="E106" s="217"/>
      <c r="F106" s="255">
        <f>F105*$D106</f>
        <v>0</v>
      </c>
      <c r="G106" s="255">
        <f t="shared" ref="G106:AC106" si="24">G105*$D106</f>
        <v>0</v>
      </c>
      <c r="H106" s="255">
        <f t="shared" si="24"/>
        <v>-2031.4010873050129</v>
      </c>
      <c r="I106" s="255">
        <f t="shared" si="24"/>
        <v>-2234.5411960355141</v>
      </c>
      <c r="J106" s="255">
        <f t="shared" si="24"/>
        <v>-2441.7441069406254</v>
      </c>
      <c r="K106" s="255">
        <f t="shared" si="24"/>
        <v>-2653.0910760638385</v>
      </c>
      <c r="L106" s="255">
        <f t="shared" si="24"/>
        <v>-2868.6649845695165</v>
      </c>
      <c r="M106" s="255">
        <f t="shared" si="24"/>
        <v>-3088.5503712453083</v>
      </c>
      <c r="N106" s="255">
        <f t="shared" si="24"/>
        <v>-3312.8334656546181</v>
      </c>
      <c r="O106" s="255">
        <f t="shared" si="24"/>
        <v>-3541.6022219521092</v>
      </c>
      <c r="P106" s="255">
        <f t="shared" si="24"/>
        <v>-3774.9463533755543</v>
      </c>
      <c r="Q106" s="255">
        <f t="shared" si="24"/>
        <v>-4012.957367427467</v>
      </c>
      <c r="R106" s="255">
        <f t="shared" si="24"/>
        <v>-4255.7286017604165</v>
      </c>
      <c r="S106" s="255">
        <f t="shared" si="24"/>
        <v>-4503.3552607800248</v>
      </c>
      <c r="T106" s="255">
        <f t="shared" si="24"/>
        <v>-4755.9344529800283</v>
      </c>
      <c r="U106" s="255">
        <f t="shared" si="24"/>
        <v>-5013.5652290240287</v>
      </c>
      <c r="V106" s="255">
        <f t="shared" si="24"/>
        <v>-5276.3486205889103</v>
      </c>
      <c r="W106" s="255">
        <f t="shared" si="24"/>
        <v>-5544.3876799850914</v>
      </c>
      <c r="X106" s="255">
        <f t="shared" si="24"/>
        <v>-5817.7875205691935</v>
      </c>
      <c r="Y106" s="255">
        <f t="shared" si="24"/>
        <v>-6096.6553579649799</v>
      </c>
      <c r="Z106" s="255">
        <f t="shared" si="24"/>
        <v>-6381.1005521086799</v>
      </c>
      <c r="AA106" s="255">
        <f t="shared" si="24"/>
        <v>-6671.2346501352531</v>
      </c>
      <c r="AB106" s="255">
        <f t="shared" si="24"/>
        <v>-6967.171430122361</v>
      </c>
      <c r="AC106" s="268">
        <f t="shared" si="24"/>
        <v>-7269.0269457092099</v>
      </c>
      <c r="AD106" s="346">
        <f t="shared" si="23"/>
        <v>-98512.628532297735</v>
      </c>
    </row>
    <row r="107" spans="1:30" s="110" customFormat="1" ht="12">
      <c r="A107" s="58"/>
      <c r="C107" s="78" t="s">
        <v>543</v>
      </c>
      <c r="D107" s="210">
        <f>'Mode Operating Assumptions'!$D$196</f>
        <v>8.7375046258002826E-6</v>
      </c>
      <c r="E107" s="217"/>
      <c r="F107" s="71">
        <f>$D107*(F$12+F$13)</f>
        <v>0</v>
      </c>
      <c r="G107" s="71">
        <f t="shared" ref="G107:AC107" si="25">$D107*(G$12+G$13)</f>
        <v>0</v>
      </c>
      <c r="H107" s="71">
        <f t="shared" si="25"/>
        <v>1.5290633095150495E-2</v>
      </c>
      <c r="I107" s="71">
        <f t="shared" si="25"/>
        <v>1.6819696404665543E-2</v>
      </c>
      <c r="J107" s="71">
        <f t="shared" si="25"/>
        <v>1.8379340980370893E-2</v>
      </c>
      <c r="K107" s="71">
        <f t="shared" si="25"/>
        <v>1.9970178447590348E-2</v>
      </c>
      <c r="L107" s="71">
        <f t="shared" si="25"/>
        <v>2.1592832664154196E-2</v>
      </c>
      <c r="M107" s="71">
        <f t="shared" si="25"/>
        <v>2.3247939965049324E-2</v>
      </c>
      <c r="N107" s="71">
        <f t="shared" si="25"/>
        <v>2.4936149411962368E-2</v>
      </c>
      <c r="O107" s="71">
        <f t="shared" si="25"/>
        <v>2.6658123047813637E-2</v>
      </c>
      <c r="P107" s="71">
        <f t="shared" si="25"/>
        <v>2.8414536156381964E-2</v>
      </c>
      <c r="Q107" s="71">
        <f t="shared" si="25"/>
        <v>3.020607752712165E-2</v>
      </c>
      <c r="R107" s="71">
        <f t="shared" si="25"/>
        <v>3.2033449725276116E-2</v>
      </c>
      <c r="S107" s="71">
        <f t="shared" si="25"/>
        <v>3.3897369367393661E-2</v>
      </c>
      <c r="T107" s="71">
        <f t="shared" si="25"/>
        <v>3.5798567402353591E-2</v>
      </c>
      <c r="U107" s="71">
        <f t="shared" si="25"/>
        <v>3.77377893980127E-2</v>
      </c>
      <c r="V107" s="71">
        <f t="shared" si="25"/>
        <v>3.9715795833584991E-2</v>
      </c>
      <c r="W107" s="71">
        <f t="shared" si="25"/>
        <v>4.1733362397868748E-2</v>
      </c>
      <c r="X107" s="71">
        <f t="shared" si="25"/>
        <v>4.3791280293438151E-2</v>
      </c>
      <c r="Y107" s="71">
        <f t="shared" si="25"/>
        <v>4.5890356546918962E-2</v>
      </c>
      <c r="Z107" s="71">
        <f t="shared" si="25"/>
        <v>4.8031414325469382E-2</v>
      </c>
      <c r="AA107" s="71">
        <f t="shared" si="25"/>
        <v>5.0215293259590801E-2</v>
      </c>
      <c r="AB107" s="71">
        <f t="shared" si="25"/>
        <v>5.2442849772394669E-2</v>
      </c>
      <c r="AC107" s="388">
        <f t="shared" si="25"/>
        <v>5.471495741545461E-2</v>
      </c>
      <c r="AD107" s="353">
        <f t="shared" si="23"/>
        <v>0.74151799343801683</v>
      </c>
    </row>
    <row r="108" spans="1:30" s="110" customFormat="1" ht="12">
      <c r="C108" s="49" t="s">
        <v>41</v>
      </c>
      <c r="D108" s="308">
        <f>-'Mode Operating Assumptions'!$C$175</f>
        <v>-291400</v>
      </c>
      <c r="E108" s="217"/>
      <c r="F108" s="255">
        <f>F107*$D108</f>
        <v>0</v>
      </c>
      <c r="G108" s="255">
        <f t="shared" ref="G108:AC108" si="26">G107*$D108</f>
        <v>0</v>
      </c>
      <c r="H108" s="255">
        <f t="shared" si="26"/>
        <v>-4455.6904839268545</v>
      </c>
      <c r="I108" s="255">
        <f t="shared" si="26"/>
        <v>-4901.2595323195392</v>
      </c>
      <c r="J108" s="255">
        <f t="shared" si="26"/>
        <v>-5355.7399616800785</v>
      </c>
      <c r="K108" s="255">
        <f t="shared" si="26"/>
        <v>-5819.3099996278279</v>
      </c>
      <c r="L108" s="255">
        <f t="shared" si="26"/>
        <v>-6292.1514383345329</v>
      </c>
      <c r="M108" s="255">
        <f t="shared" si="26"/>
        <v>-6774.4497058153729</v>
      </c>
      <c r="N108" s="255">
        <f t="shared" si="26"/>
        <v>-7266.3939386458342</v>
      </c>
      <c r="O108" s="255">
        <f t="shared" si="26"/>
        <v>-7768.177056132894</v>
      </c>
      <c r="P108" s="255">
        <f t="shared" si="26"/>
        <v>-8279.9958359697048</v>
      </c>
      <c r="Q108" s="255">
        <f t="shared" si="26"/>
        <v>-8802.0509914032482</v>
      </c>
      <c r="R108" s="255">
        <f t="shared" si="26"/>
        <v>-9334.5472499454609</v>
      </c>
      <c r="S108" s="255">
        <f t="shared" si="26"/>
        <v>-9877.6934336585127</v>
      </c>
      <c r="T108" s="255">
        <f t="shared" si="26"/>
        <v>-10431.702541045837</v>
      </c>
      <c r="U108" s="255">
        <f t="shared" si="26"/>
        <v>-10996.791830580902</v>
      </c>
      <c r="V108" s="255">
        <f t="shared" si="26"/>
        <v>-11573.182905906666</v>
      </c>
      <c r="W108" s="255">
        <f t="shared" si="26"/>
        <v>-12161.101802738953</v>
      </c>
      <c r="X108" s="255">
        <f t="shared" si="26"/>
        <v>-12760.779077507877</v>
      </c>
      <c r="Y108" s="255">
        <f t="shared" si="26"/>
        <v>-13372.449897772185</v>
      </c>
      <c r="Z108" s="255">
        <f t="shared" si="26"/>
        <v>-13996.354134441777</v>
      </c>
      <c r="AA108" s="255">
        <f t="shared" si="26"/>
        <v>-14632.736455844759</v>
      </c>
      <c r="AB108" s="255">
        <f t="shared" si="26"/>
        <v>-15281.846423675806</v>
      </c>
      <c r="AC108" s="268">
        <f t="shared" si="26"/>
        <v>-15943.938590863474</v>
      </c>
      <c r="AD108" s="346">
        <f t="shared" ref="AD108:AD124" si="27">SUM(F108:AC108)</f>
        <v>-216078.34328783813</v>
      </c>
    </row>
    <row r="109" spans="1:30" s="110" customFormat="1" ht="12">
      <c r="A109" s="58"/>
      <c r="C109" s="49"/>
      <c r="D109" s="308"/>
      <c r="E109" s="217"/>
      <c r="F109" s="255"/>
      <c r="G109" s="255"/>
      <c r="H109" s="255"/>
      <c r="I109" s="255"/>
      <c r="J109" s="255"/>
      <c r="K109" s="255"/>
      <c r="L109" s="255"/>
      <c r="M109" s="255"/>
      <c r="N109" s="255"/>
      <c r="O109" s="255"/>
      <c r="P109" s="255"/>
      <c r="Q109" s="255"/>
      <c r="R109" s="255"/>
      <c r="S109" s="255"/>
      <c r="T109" s="255"/>
      <c r="U109" s="255"/>
      <c r="V109" s="255"/>
      <c r="W109" s="255"/>
      <c r="X109" s="255"/>
      <c r="Y109" s="255"/>
      <c r="Z109" s="255"/>
      <c r="AA109" s="255"/>
      <c r="AB109" s="255"/>
      <c r="AC109" s="268"/>
      <c r="AD109" s="346"/>
    </row>
    <row r="110" spans="1:30" s="110" customFormat="1" ht="12">
      <c r="A110" s="58"/>
      <c r="B110" s="445" t="s">
        <v>588</v>
      </c>
      <c r="C110" s="78" t="s">
        <v>586</v>
      </c>
      <c r="D110" s="210"/>
      <c r="E110" s="217"/>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270"/>
      <c r="AD110" s="353"/>
    </row>
    <row r="111" spans="1:30" s="110" customFormat="1" ht="12">
      <c r="A111" s="58"/>
      <c r="C111" s="78" t="s">
        <v>542</v>
      </c>
      <c r="D111" s="210">
        <v>0</v>
      </c>
      <c r="E111" s="217"/>
      <c r="F111" s="71">
        <f>$D111*(F$11+F$12+F$13)</f>
        <v>0</v>
      </c>
      <c r="G111" s="71">
        <f t="shared" ref="G111:AC111" si="28">$D111*(G$11+G$12+G$13)</f>
        <v>0</v>
      </c>
      <c r="H111" s="71">
        <f>$D111*(H$11+H$12+H$13)</f>
        <v>0</v>
      </c>
      <c r="I111" s="71">
        <f t="shared" si="28"/>
        <v>0</v>
      </c>
      <c r="J111" s="71">
        <f t="shared" si="28"/>
        <v>0</v>
      </c>
      <c r="K111" s="71">
        <f t="shared" si="28"/>
        <v>0</v>
      </c>
      <c r="L111" s="71">
        <f t="shared" si="28"/>
        <v>0</v>
      </c>
      <c r="M111" s="71">
        <f t="shared" si="28"/>
        <v>0</v>
      </c>
      <c r="N111" s="71">
        <f t="shared" si="28"/>
        <v>0</v>
      </c>
      <c r="O111" s="71">
        <f t="shared" si="28"/>
        <v>0</v>
      </c>
      <c r="P111" s="71">
        <f t="shared" si="28"/>
        <v>0</v>
      </c>
      <c r="Q111" s="71">
        <f t="shared" si="28"/>
        <v>0</v>
      </c>
      <c r="R111" s="71">
        <f t="shared" si="28"/>
        <v>0</v>
      </c>
      <c r="S111" s="71">
        <f t="shared" si="28"/>
        <v>0</v>
      </c>
      <c r="T111" s="71">
        <f t="shared" si="28"/>
        <v>0</v>
      </c>
      <c r="U111" s="71">
        <f t="shared" si="28"/>
        <v>0</v>
      </c>
      <c r="V111" s="71">
        <f t="shared" si="28"/>
        <v>0</v>
      </c>
      <c r="W111" s="71">
        <f t="shared" si="28"/>
        <v>0</v>
      </c>
      <c r="X111" s="71">
        <f t="shared" si="28"/>
        <v>0</v>
      </c>
      <c r="Y111" s="71">
        <f t="shared" si="28"/>
        <v>0</v>
      </c>
      <c r="Z111" s="71">
        <f t="shared" si="28"/>
        <v>0</v>
      </c>
      <c r="AA111" s="71">
        <f t="shared" si="28"/>
        <v>0</v>
      </c>
      <c r="AB111" s="71">
        <f t="shared" si="28"/>
        <v>0</v>
      </c>
      <c r="AC111" s="388">
        <f t="shared" si="28"/>
        <v>0</v>
      </c>
      <c r="AD111" s="350">
        <f t="shared" ref="AD111:AD113" si="29">SUM(F111:AC111)</f>
        <v>0</v>
      </c>
    </row>
    <row r="112" spans="1:30" s="110" customFormat="1" ht="12">
      <c r="A112" s="58"/>
      <c r="C112" s="49" t="s">
        <v>40</v>
      </c>
      <c r="D112" s="308">
        <f>-'Mode Operating Assumptions'!$C$179</f>
        <v>-6200000</v>
      </c>
      <c r="E112" s="217"/>
      <c r="F112" s="255">
        <f>F111*$D112</f>
        <v>0</v>
      </c>
      <c r="G112" s="255">
        <f t="shared" ref="G112:AC112" si="30">G111*$D112</f>
        <v>0</v>
      </c>
      <c r="H112" s="255">
        <f t="shared" si="30"/>
        <v>0</v>
      </c>
      <c r="I112" s="255">
        <f t="shared" si="30"/>
        <v>0</v>
      </c>
      <c r="J112" s="255">
        <f t="shared" si="30"/>
        <v>0</v>
      </c>
      <c r="K112" s="255">
        <f t="shared" si="30"/>
        <v>0</v>
      </c>
      <c r="L112" s="255">
        <f t="shared" si="30"/>
        <v>0</v>
      </c>
      <c r="M112" s="255">
        <f t="shared" si="30"/>
        <v>0</v>
      </c>
      <c r="N112" s="255">
        <f t="shared" si="30"/>
        <v>0</v>
      </c>
      <c r="O112" s="255">
        <f t="shared" si="30"/>
        <v>0</v>
      </c>
      <c r="P112" s="255">
        <f t="shared" si="30"/>
        <v>0</v>
      </c>
      <c r="Q112" s="255">
        <f t="shared" si="30"/>
        <v>0</v>
      </c>
      <c r="R112" s="255">
        <f t="shared" si="30"/>
        <v>0</v>
      </c>
      <c r="S112" s="255">
        <f t="shared" si="30"/>
        <v>0</v>
      </c>
      <c r="T112" s="255">
        <f t="shared" si="30"/>
        <v>0</v>
      </c>
      <c r="U112" s="255">
        <f t="shared" si="30"/>
        <v>0</v>
      </c>
      <c r="V112" s="255">
        <f t="shared" si="30"/>
        <v>0</v>
      </c>
      <c r="W112" s="255">
        <f t="shared" si="30"/>
        <v>0</v>
      </c>
      <c r="X112" s="255">
        <f t="shared" si="30"/>
        <v>0</v>
      </c>
      <c r="Y112" s="255">
        <f t="shared" si="30"/>
        <v>0</v>
      </c>
      <c r="Z112" s="255">
        <f t="shared" si="30"/>
        <v>0</v>
      </c>
      <c r="AA112" s="255">
        <f t="shared" si="30"/>
        <v>0</v>
      </c>
      <c r="AB112" s="255">
        <f t="shared" si="30"/>
        <v>0</v>
      </c>
      <c r="AC112" s="268">
        <f t="shared" si="30"/>
        <v>0</v>
      </c>
      <c r="AD112" s="346">
        <f t="shared" si="29"/>
        <v>0</v>
      </c>
    </row>
    <row r="113" spans="1:30" s="110" customFormat="1" ht="12">
      <c r="A113" s="58"/>
      <c r="C113" s="78" t="s">
        <v>543</v>
      </c>
      <c r="D113" s="210">
        <v>0</v>
      </c>
      <c r="E113" s="217"/>
      <c r="F113" s="71">
        <f>$D113*(F$11+F$12+F$13)</f>
        <v>0</v>
      </c>
      <c r="G113" s="71">
        <f t="shared" ref="G113:AC113" si="31">$D113*(G$11+G$12+G$13)</f>
        <v>0</v>
      </c>
      <c r="H113" s="71">
        <f t="shared" si="31"/>
        <v>0</v>
      </c>
      <c r="I113" s="71">
        <f t="shared" si="31"/>
        <v>0</v>
      </c>
      <c r="J113" s="71">
        <f t="shared" si="31"/>
        <v>0</v>
      </c>
      <c r="K113" s="71">
        <f t="shared" si="31"/>
        <v>0</v>
      </c>
      <c r="L113" s="71">
        <f t="shared" si="31"/>
        <v>0</v>
      </c>
      <c r="M113" s="71">
        <f t="shared" si="31"/>
        <v>0</v>
      </c>
      <c r="N113" s="71">
        <f t="shared" si="31"/>
        <v>0</v>
      </c>
      <c r="O113" s="71">
        <f t="shared" si="31"/>
        <v>0</v>
      </c>
      <c r="P113" s="71">
        <f t="shared" si="31"/>
        <v>0</v>
      </c>
      <c r="Q113" s="71">
        <f t="shared" si="31"/>
        <v>0</v>
      </c>
      <c r="R113" s="71">
        <f t="shared" si="31"/>
        <v>0</v>
      </c>
      <c r="S113" s="71">
        <f t="shared" si="31"/>
        <v>0</v>
      </c>
      <c r="T113" s="71">
        <f t="shared" si="31"/>
        <v>0</v>
      </c>
      <c r="U113" s="71">
        <f t="shared" si="31"/>
        <v>0</v>
      </c>
      <c r="V113" s="71">
        <f t="shared" si="31"/>
        <v>0</v>
      </c>
      <c r="W113" s="71">
        <f t="shared" si="31"/>
        <v>0</v>
      </c>
      <c r="X113" s="71">
        <f t="shared" si="31"/>
        <v>0</v>
      </c>
      <c r="Y113" s="71">
        <f t="shared" si="31"/>
        <v>0</v>
      </c>
      <c r="Z113" s="71">
        <f t="shared" si="31"/>
        <v>0</v>
      </c>
      <c r="AA113" s="71">
        <f t="shared" si="31"/>
        <v>0</v>
      </c>
      <c r="AB113" s="71">
        <f t="shared" si="31"/>
        <v>0</v>
      </c>
      <c r="AC113" s="388">
        <f t="shared" si="31"/>
        <v>0</v>
      </c>
      <c r="AD113" s="350">
        <f t="shared" si="29"/>
        <v>0</v>
      </c>
    </row>
    <row r="114" spans="1:30" s="110" customFormat="1" ht="12">
      <c r="C114" s="49" t="s">
        <v>41</v>
      </c>
      <c r="D114" s="308">
        <f>-'Mode Operating Assumptions'!$C$175</f>
        <v>-291400</v>
      </c>
      <c r="E114" s="217"/>
      <c r="F114" s="255">
        <f>F113*$D114</f>
        <v>0</v>
      </c>
      <c r="G114" s="255">
        <f t="shared" ref="G114:AC114" si="32">G113*$D114</f>
        <v>0</v>
      </c>
      <c r="H114" s="255">
        <f t="shared" si="32"/>
        <v>0</v>
      </c>
      <c r="I114" s="255">
        <f t="shared" si="32"/>
        <v>0</v>
      </c>
      <c r="J114" s="255">
        <f t="shared" si="32"/>
        <v>0</v>
      </c>
      <c r="K114" s="255">
        <f t="shared" si="32"/>
        <v>0</v>
      </c>
      <c r="L114" s="255">
        <f t="shared" si="32"/>
        <v>0</v>
      </c>
      <c r="M114" s="255">
        <f t="shared" si="32"/>
        <v>0</v>
      </c>
      <c r="N114" s="255">
        <f t="shared" si="32"/>
        <v>0</v>
      </c>
      <c r="O114" s="255">
        <f t="shared" si="32"/>
        <v>0</v>
      </c>
      <c r="P114" s="255">
        <f t="shared" si="32"/>
        <v>0</v>
      </c>
      <c r="Q114" s="255">
        <f t="shared" si="32"/>
        <v>0</v>
      </c>
      <c r="R114" s="255">
        <f t="shared" si="32"/>
        <v>0</v>
      </c>
      <c r="S114" s="255">
        <f t="shared" si="32"/>
        <v>0</v>
      </c>
      <c r="T114" s="255">
        <f t="shared" si="32"/>
        <v>0</v>
      </c>
      <c r="U114" s="255">
        <f t="shared" si="32"/>
        <v>0</v>
      </c>
      <c r="V114" s="255">
        <f t="shared" si="32"/>
        <v>0</v>
      </c>
      <c r="W114" s="255">
        <f t="shared" si="32"/>
        <v>0</v>
      </c>
      <c r="X114" s="255">
        <f t="shared" si="32"/>
        <v>0</v>
      </c>
      <c r="Y114" s="255">
        <f t="shared" si="32"/>
        <v>0</v>
      </c>
      <c r="Z114" s="255">
        <f t="shared" si="32"/>
        <v>0</v>
      </c>
      <c r="AA114" s="255">
        <f t="shared" si="32"/>
        <v>0</v>
      </c>
      <c r="AB114" s="255">
        <f t="shared" si="32"/>
        <v>0</v>
      </c>
      <c r="AC114" s="268">
        <f t="shared" si="32"/>
        <v>0</v>
      </c>
      <c r="AD114" s="346">
        <f t="shared" ref="AD114" si="33">SUM(F114:AC114)</f>
        <v>0</v>
      </c>
    </row>
    <row r="115" spans="1:30" s="110" customFormat="1" ht="12">
      <c r="A115" s="58"/>
      <c r="C115" s="49"/>
      <c r="D115" s="308"/>
      <c r="E115" s="217"/>
      <c r="F115" s="255"/>
      <c r="G115" s="255"/>
      <c r="H115" s="255"/>
      <c r="I115" s="255"/>
      <c r="J115" s="255"/>
      <c r="K115" s="255"/>
      <c r="L115" s="255"/>
      <c r="M115" s="255"/>
      <c r="N115" s="255"/>
      <c r="O115" s="255"/>
      <c r="P115" s="255"/>
      <c r="Q115" s="255"/>
      <c r="R115" s="255"/>
      <c r="S115" s="255"/>
      <c r="T115" s="255"/>
      <c r="U115" s="255"/>
      <c r="V115" s="255"/>
      <c r="W115" s="255"/>
      <c r="X115" s="255"/>
      <c r="Y115" s="255"/>
      <c r="Z115" s="255"/>
      <c r="AA115" s="255"/>
      <c r="AB115" s="255"/>
      <c r="AC115" s="268"/>
      <c r="AD115" s="346"/>
    </row>
    <row r="116" spans="1:30" s="110" customFormat="1" ht="12">
      <c r="A116" s="58"/>
      <c r="B116" s="58" t="s">
        <v>528</v>
      </c>
      <c r="C116" s="78" t="s">
        <v>581</v>
      </c>
      <c r="D116" s="210"/>
      <c r="E116" s="217"/>
      <c r="G116" s="55"/>
      <c r="AC116" s="262"/>
      <c r="AD116" s="337"/>
    </row>
    <row r="117" spans="1:30" s="110" customFormat="1" ht="12">
      <c r="A117" s="58"/>
      <c r="B117" s="58"/>
      <c r="C117" s="78" t="s">
        <v>542</v>
      </c>
      <c r="D117" s="210">
        <f>'Mode Operating Assumptions'!$D$184</f>
        <v>8.6836127924972328E-9</v>
      </c>
      <c r="E117" s="217"/>
      <c r="F117" s="55">
        <f>$D117*F$20</f>
        <v>0</v>
      </c>
      <c r="G117" s="55">
        <f t="shared" ref="G117:AC117" si="34">$D117*G$20</f>
        <v>0</v>
      </c>
      <c r="H117" s="55">
        <f t="shared" si="34"/>
        <v>-3.6091265668816626E-4</v>
      </c>
      <c r="I117" s="55">
        <f t="shared" si="34"/>
        <v>-3.9700392235698289E-4</v>
      </c>
      <c r="J117" s="55">
        <f t="shared" si="34"/>
        <v>-4.3381701333917576E-4</v>
      </c>
      <c r="K117" s="55">
        <f t="shared" si="34"/>
        <v>-4.7136636614101261E-4</v>
      </c>
      <c r="L117" s="55">
        <f t="shared" si="34"/>
        <v>-5.0966670599888618E-4</v>
      </c>
      <c r="M117" s="55">
        <f t="shared" si="34"/>
        <v>-5.4873305265391728E-4</v>
      </c>
      <c r="N117" s="55">
        <f t="shared" si="34"/>
        <v>-5.8858072624204936E-4</v>
      </c>
      <c r="O117" s="55">
        <f t="shared" si="34"/>
        <v>-6.2922535330194311E-4</v>
      </c>
      <c r="P117" s="55">
        <f t="shared" si="34"/>
        <v>-6.706828729030358E-4</v>
      </c>
      <c r="Q117" s="55">
        <f t="shared" si="34"/>
        <v>-7.1296954289614973E-4</v>
      </c>
      <c r="R117" s="55">
        <f t="shared" si="34"/>
        <v>-7.5610194628912607E-4</v>
      </c>
      <c r="S117" s="55">
        <f t="shared" si="34"/>
        <v>-8.0009699774996146E-4</v>
      </c>
      <c r="T117" s="55">
        <f t="shared" si="34"/>
        <v>-8.4497195024001441E-4</v>
      </c>
      <c r="U117" s="55">
        <f t="shared" si="34"/>
        <v>-8.9074440177986801E-4</v>
      </c>
      <c r="V117" s="55">
        <f t="shared" si="34"/>
        <v>-9.3743230235051852E-4</v>
      </c>
      <c r="W117" s="55">
        <f t="shared" si="34"/>
        <v>-9.8505396093258248E-4</v>
      </c>
      <c r="X117" s="55">
        <f t="shared" si="34"/>
        <v>-1.0336280526862872E-3</v>
      </c>
      <c r="Y117" s="55">
        <f t="shared" si="34"/>
        <v>-1.0831736262750667E-3</v>
      </c>
      <c r="Z117" s="55">
        <f t="shared" si="34"/>
        <v>-1.1337101113356213E-3</v>
      </c>
      <c r="AA117" s="55">
        <f t="shared" si="34"/>
        <v>-1.1852573260973864E-3</v>
      </c>
      <c r="AB117" s="55">
        <f t="shared" si="34"/>
        <v>-1.2378354851543881E-3</v>
      </c>
      <c r="AC117" s="270">
        <f t="shared" si="34"/>
        <v>-1.2914652073925293E-3</v>
      </c>
      <c r="AD117" s="353">
        <f t="shared" si="27"/>
        <v>-1.7502429580804668E-2</v>
      </c>
    </row>
    <row r="118" spans="1:30" s="110" customFormat="1" ht="12">
      <c r="A118" s="58"/>
      <c r="B118" s="58"/>
      <c r="C118" s="49" t="s">
        <v>40</v>
      </c>
      <c r="D118" s="308">
        <f>D106</f>
        <v>-6200000</v>
      </c>
      <c r="E118" s="217"/>
      <c r="F118" s="255">
        <f>F117*$D118</f>
        <v>0</v>
      </c>
      <c r="G118" s="255">
        <f t="shared" ref="G118:AC118" si="35">G117*$D118</f>
        <v>0</v>
      </c>
      <c r="H118" s="255">
        <f t="shared" si="35"/>
        <v>2237.658471466631</v>
      </c>
      <c r="I118" s="255">
        <f t="shared" si="35"/>
        <v>2461.424318613294</v>
      </c>
      <c r="J118" s="255">
        <f t="shared" si="35"/>
        <v>2689.6654827028897</v>
      </c>
      <c r="K118" s="255">
        <f t="shared" si="35"/>
        <v>2922.4714700742784</v>
      </c>
      <c r="L118" s="255">
        <f t="shared" si="35"/>
        <v>3159.9335771930942</v>
      </c>
      <c r="M118" s="255">
        <f t="shared" si="35"/>
        <v>3402.1449264542871</v>
      </c>
      <c r="N118" s="255">
        <f t="shared" si="35"/>
        <v>3649.2005027007062</v>
      </c>
      <c r="O118" s="255">
        <f t="shared" si="35"/>
        <v>3901.1971904720472</v>
      </c>
      <c r="P118" s="255">
        <f t="shared" si="35"/>
        <v>4158.2338119988217</v>
      </c>
      <c r="Q118" s="255">
        <f t="shared" si="35"/>
        <v>4420.4111659561286</v>
      </c>
      <c r="R118" s="255">
        <f t="shared" si="35"/>
        <v>4687.8320669925815</v>
      </c>
      <c r="S118" s="255">
        <f t="shared" si="35"/>
        <v>4960.6013860497615</v>
      </c>
      <c r="T118" s="255">
        <f t="shared" si="35"/>
        <v>5238.8260914880893</v>
      </c>
      <c r="U118" s="255">
        <f t="shared" si="35"/>
        <v>5522.6152910351821</v>
      </c>
      <c r="V118" s="255">
        <f t="shared" si="35"/>
        <v>5812.0802745732144</v>
      </c>
      <c r="W118" s="255">
        <f t="shared" si="35"/>
        <v>6107.334557782011</v>
      </c>
      <c r="X118" s="255">
        <f t="shared" si="35"/>
        <v>6408.4939266549809</v>
      </c>
      <c r="Y118" s="255">
        <f t="shared" si="35"/>
        <v>6715.6764829054136</v>
      </c>
      <c r="Z118" s="255">
        <f t="shared" si="35"/>
        <v>7029.0026902808522</v>
      </c>
      <c r="AA118" s="255">
        <f t="shared" si="35"/>
        <v>7348.5954218037959</v>
      </c>
      <c r="AB118" s="255">
        <f t="shared" si="35"/>
        <v>7674.5800079572064</v>
      </c>
      <c r="AC118" s="268">
        <f t="shared" si="35"/>
        <v>8007.084285833681</v>
      </c>
      <c r="AD118" s="346">
        <f t="shared" si="27"/>
        <v>108515.06340098895</v>
      </c>
    </row>
    <row r="119" spans="1:30" s="110" customFormat="1" ht="12">
      <c r="A119" s="58"/>
      <c r="B119" s="58"/>
      <c r="C119" s="78" t="s">
        <v>543</v>
      </c>
      <c r="D119" s="210">
        <f>'Mode Operating Assumptions'!$D$185</f>
        <v>8.1339537419145546E-7</v>
      </c>
      <c r="E119" s="217"/>
      <c r="F119" s="55">
        <f>$D119*F$20</f>
        <v>0</v>
      </c>
      <c r="G119" s="55">
        <f t="shared" ref="G119:AC119" si="36">$D119*G$20</f>
        <v>0</v>
      </c>
      <c r="H119" s="55">
        <f t="shared" si="36"/>
        <v>-3.3806745239832368E-2</v>
      </c>
      <c r="I119" s="55">
        <f t="shared" si="36"/>
        <v>-3.7187419763815607E-2</v>
      </c>
      <c r="J119" s="55">
        <f t="shared" si="36"/>
        <v>-4.0635707778278497E-2</v>
      </c>
      <c r="K119" s="55">
        <f t="shared" si="36"/>
        <v>-4.4152961553030667E-2</v>
      </c>
      <c r="L119" s="55">
        <f t="shared" si="36"/>
        <v>-4.7740560403277871E-2</v>
      </c>
      <c r="M119" s="55">
        <f t="shared" si="36"/>
        <v>-5.1399911230530025E-2</v>
      </c>
      <c r="N119" s="55">
        <f t="shared" si="36"/>
        <v>-5.5132449074327246E-2</v>
      </c>
      <c r="O119" s="55">
        <f t="shared" si="36"/>
        <v>-5.8939637675000343E-2</v>
      </c>
      <c r="P119" s="55">
        <f t="shared" si="36"/>
        <v>-6.2822970047686985E-2</v>
      </c>
      <c r="Q119" s="55">
        <f t="shared" si="36"/>
        <v>-6.6783969067827312E-2</v>
      </c>
      <c r="R119" s="55">
        <f t="shared" si="36"/>
        <v>-7.0824188068370444E-2</v>
      </c>
      <c r="S119" s="55">
        <f t="shared" si="36"/>
        <v>-7.4945211448924395E-2</v>
      </c>
      <c r="T119" s="55">
        <f t="shared" si="36"/>
        <v>-7.9148655297089518E-2</v>
      </c>
      <c r="U119" s="55">
        <f t="shared" si="36"/>
        <v>-8.3436168022217899E-2</v>
      </c>
      <c r="V119" s="55">
        <f t="shared" si="36"/>
        <v>-8.7809431001848834E-2</v>
      </c>
      <c r="W119" s="55">
        <f t="shared" si="36"/>
        <v>-9.227015924107243E-2</v>
      </c>
      <c r="X119" s="55">
        <f t="shared" si="36"/>
        <v>-9.6820102045080444E-2</v>
      </c>
      <c r="Y119" s="55">
        <f t="shared" si="36"/>
        <v>-0.10146104370516867</v>
      </c>
      <c r="Z119" s="55">
        <f t="shared" si="36"/>
        <v>-0.10619480419845864</v>
      </c>
      <c r="AA119" s="55">
        <f t="shared" si="36"/>
        <v>-0.11102323990161435</v>
      </c>
      <c r="AB119" s="55">
        <f t="shared" si="36"/>
        <v>-0.11594824431883329</v>
      </c>
      <c r="AC119" s="270">
        <f t="shared" si="36"/>
        <v>-0.12097174882439654</v>
      </c>
      <c r="AD119" s="353">
        <f t="shared" si="27"/>
        <v>-1.6394553279066821</v>
      </c>
    </row>
    <row r="120" spans="1:30" s="110" customFormat="1" ht="12">
      <c r="A120" s="58"/>
      <c r="B120" s="58"/>
      <c r="C120" s="49" t="s">
        <v>41</v>
      </c>
      <c r="D120" s="308">
        <f>D108</f>
        <v>-291400</v>
      </c>
      <c r="E120" s="217"/>
      <c r="F120" s="255">
        <f>F119*$D120</f>
        <v>0</v>
      </c>
      <c r="G120" s="255">
        <f t="shared" ref="G120:AC120" si="37">G119*$D120</f>
        <v>0</v>
      </c>
      <c r="H120" s="255">
        <f t="shared" si="37"/>
        <v>9851.285562887153</v>
      </c>
      <c r="I120" s="255">
        <f t="shared" si="37"/>
        <v>10836.414119175868</v>
      </c>
      <c r="J120" s="255">
        <f t="shared" si="37"/>
        <v>11841.245246590353</v>
      </c>
      <c r="K120" s="255">
        <f t="shared" si="37"/>
        <v>12866.172996553136</v>
      </c>
      <c r="L120" s="255">
        <f t="shared" si="37"/>
        <v>13911.599301515171</v>
      </c>
      <c r="M120" s="255">
        <f t="shared" si="37"/>
        <v>14977.934132576449</v>
      </c>
      <c r="N120" s="255">
        <f t="shared" si="37"/>
        <v>16065.595660258959</v>
      </c>
      <c r="O120" s="255">
        <f t="shared" si="37"/>
        <v>17175.010418495101</v>
      </c>
      <c r="P120" s="255">
        <f t="shared" si="37"/>
        <v>18306.613471895987</v>
      </c>
      <c r="Q120" s="255">
        <f t="shared" si="37"/>
        <v>19460.848586364878</v>
      </c>
      <c r="R120" s="255">
        <f t="shared" si="37"/>
        <v>20638.168403123149</v>
      </c>
      <c r="S120" s="255">
        <f t="shared" si="37"/>
        <v>21839.03461621657</v>
      </c>
      <c r="T120" s="255">
        <f t="shared" si="37"/>
        <v>23063.918153571885</v>
      </c>
      <c r="U120" s="255">
        <f t="shared" si="37"/>
        <v>24313.299361674297</v>
      </c>
      <c r="V120" s="255">
        <f t="shared" si="37"/>
        <v>25587.668193938749</v>
      </c>
      <c r="W120" s="255">
        <f t="shared" si="37"/>
        <v>26887.524402848507</v>
      </c>
      <c r="X120" s="255">
        <f t="shared" si="37"/>
        <v>28213.377735936443</v>
      </c>
      <c r="Y120" s="255">
        <f t="shared" si="37"/>
        <v>29565.74813568615</v>
      </c>
      <c r="Z120" s="255">
        <f t="shared" si="37"/>
        <v>30945.165943430849</v>
      </c>
      <c r="AA120" s="255">
        <f t="shared" si="37"/>
        <v>32352.172107330422</v>
      </c>
      <c r="AB120" s="255">
        <f t="shared" si="37"/>
        <v>33787.318394508016</v>
      </c>
      <c r="AC120" s="268">
        <f t="shared" si="37"/>
        <v>35251.167607429154</v>
      </c>
      <c r="AD120" s="346">
        <f t="shared" si="27"/>
        <v>477737.28255200729</v>
      </c>
    </row>
    <row r="121" spans="1:30" s="110" customFormat="1" ht="12">
      <c r="A121" s="58"/>
      <c r="B121" s="58"/>
      <c r="C121" s="78" t="s">
        <v>554</v>
      </c>
      <c r="D121" s="210">
        <f>'Mode Operating Assumptions'!$D$183</f>
        <v>1.8640215942009768E-6</v>
      </c>
      <c r="E121" s="217"/>
      <c r="F121" s="55">
        <f>$D121*F$20</f>
        <v>0</v>
      </c>
      <c r="G121" s="55">
        <f t="shared" ref="G121:AC121" si="38">$D121*G$20</f>
        <v>0</v>
      </c>
      <c r="H121" s="55">
        <f t="shared" si="38"/>
        <v>-7.7473397508978095E-2</v>
      </c>
      <c r="I121" s="55">
        <f t="shared" si="38"/>
        <v>-8.5220737259875903E-2</v>
      </c>
      <c r="J121" s="55">
        <f t="shared" si="38"/>
        <v>-9.3123023805791669E-2</v>
      </c>
      <c r="K121" s="55">
        <f t="shared" si="38"/>
        <v>-0.10118335608262576</v>
      </c>
      <c r="L121" s="55">
        <f t="shared" si="38"/>
        <v>-0.10940489500499652</v>
      </c>
      <c r="M121" s="55">
        <f t="shared" si="38"/>
        <v>-0.11779086470581472</v>
      </c>
      <c r="N121" s="55">
        <f t="shared" si="38"/>
        <v>-0.12634455380064935</v>
      </c>
      <c r="O121" s="55">
        <f t="shared" si="38"/>
        <v>-0.13506931667738048</v>
      </c>
      <c r="P121" s="55">
        <f t="shared" si="38"/>
        <v>-0.14396857481164643</v>
      </c>
      <c r="Q121" s="55">
        <f t="shared" si="38"/>
        <v>-0.1530458181085976</v>
      </c>
      <c r="R121" s="55">
        <f t="shared" si="38"/>
        <v>-0.16230460627148779</v>
      </c>
      <c r="S121" s="55">
        <f t="shared" si="38"/>
        <v>-0.17174857019763573</v>
      </c>
      <c r="T121" s="55">
        <f t="shared" si="38"/>
        <v>-0.18138141340230676</v>
      </c>
      <c r="U121" s="55">
        <f t="shared" si="38"/>
        <v>-0.19120691347107116</v>
      </c>
      <c r="V121" s="55">
        <f t="shared" si="38"/>
        <v>-0.2012289235412108</v>
      </c>
      <c r="W121" s="55">
        <f t="shared" si="38"/>
        <v>-0.21145137381275333</v>
      </c>
      <c r="X121" s="55">
        <f t="shared" si="38"/>
        <v>-0.2218782730897266</v>
      </c>
      <c r="Y121" s="55">
        <f t="shared" si="38"/>
        <v>-0.23251371035223944</v>
      </c>
      <c r="Z121" s="55">
        <f t="shared" si="38"/>
        <v>-0.24336185636000249</v>
      </c>
      <c r="AA121" s="55">
        <f t="shared" si="38"/>
        <v>-0.25442696528792069</v>
      </c>
      <c r="AB121" s="55">
        <f t="shared" si="38"/>
        <v>-0.26571337639439746</v>
      </c>
      <c r="AC121" s="270">
        <f t="shared" si="38"/>
        <v>-0.27722551572300363</v>
      </c>
      <c r="AD121" s="353">
        <f t="shared" si="27"/>
        <v>-3.7570660356701127</v>
      </c>
    </row>
    <row r="122" spans="1:30" s="110" customFormat="1" ht="12">
      <c r="A122" s="58"/>
      <c r="B122" s="58"/>
      <c r="C122" s="49" t="s">
        <v>530</v>
      </c>
      <c r="D122" s="308">
        <f>-'Mode Operating Assumptions'!$C$172</f>
        <v>-3285</v>
      </c>
      <c r="E122" s="217"/>
      <c r="F122" s="255">
        <f>F121*$D122</f>
        <v>0</v>
      </c>
      <c r="G122" s="255">
        <f t="shared" ref="G122:AC122" si="39">G121*$D122</f>
        <v>0</v>
      </c>
      <c r="H122" s="255">
        <f t="shared" si="39"/>
        <v>254.50011081699304</v>
      </c>
      <c r="I122" s="255">
        <f t="shared" si="39"/>
        <v>279.95012189869232</v>
      </c>
      <c r="J122" s="255">
        <f t="shared" si="39"/>
        <v>305.90913320202566</v>
      </c>
      <c r="K122" s="255">
        <f t="shared" si="39"/>
        <v>332.38732473142562</v>
      </c>
      <c r="L122" s="255">
        <f t="shared" si="39"/>
        <v>359.39508009141355</v>
      </c>
      <c r="M122" s="255">
        <f t="shared" si="39"/>
        <v>386.94299055860137</v>
      </c>
      <c r="N122" s="255">
        <f t="shared" si="39"/>
        <v>415.04185923513313</v>
      </c>
      <c r="O122" s="255">
        <f t="shared" si="39"/>
        <v>443.7027052851949</v>
      </c>
      <c r="P122" s="255">
        <f t="shared" si="39"/>
        <v>472.93676825625852</v>
      </c>
      <c r="Q122" s="255">
        <f t="shared" si="39"/>
        <v>502.7555124867431</v>
      </c>
      <c r="R122" s="255">
        <f t="shared" si="39"/>
        <v>533.17063160183739</v>
      </c>
      <c r="S122" s="255">
        <f t="shared" si="39"/>
        <v>564.19405309923343</v>
      </c>
      <c r="T122" s="255">
        <f t="shared" si="39"/>
        <v>595.8379430265777</v>
      </c>
      <c r="U122" s="255">
        <f t="shared" si="39"/>
        <v>628.1147107524688</v>
      </c>
      <c r="V122" s="255">
        <f t="shared" si="39"/>
        <v>661.03701383287751</v>
      </c>
      <c r="W122" s="255">
        <f t="shared" si="39"/>
        <v>694.61776297489473</v>
      </c>
      <c r="X122" s="255">
        <f t="shared" si="39"/>
        <v>728.87012709975193</v>
      </c>
      <c r="Y122" s="255">
        <f t="shared" si="39"/>
        <v>763.80753850710653</v>
      </c>
      <c r="Z122" s="255">
        <f t="shared" si="39"/>
        <v>799.44369814260813</v>
      </c>
      <c r="AA122" s="255">
        <f t="shared" si="39"/>
        <v>835.79258097081947</v>
      </c>
      <c r="AB122" s="255">
        <f t="shared" si="39"/>
        <v>872.86844145559564</v>
      </c>
      <c r="AC122" s="268">
        <f t="shared" si="39"/>
        <v>910.68581915006689</v>
      </c>
      <c r="AD122" s="346">
        <f t="shared" si="27"/>
        <v>12341.961927176319</v>
      </c>
    </row>
    <row r="123" spans="1:30" s="110" customFormat="1" ht="12">
      <c r="A123" s="58"/>
      <c r="B123" s="58"/>
      <c r="D123" s="308"/>
      <c r="E123" s="217"/>
      <c r="F123" s="255"/>
      <c r="G123" s="255"/>
      <c r="H123" s="255"/>
      <c r="I123" s="255"/>
      <c r="J123" s="255"/>
      <c r="K123" s="255"/>
      <c r="L123" s="255"/>
      <c r="M123" s="255"/>
      <c r="N123" s="255"/>
      <c r="O123" s="255"/>
      <c r="P123" s="255"/>
      <c r="Q123" s="255"/>
      <c r="R123" s="255"/>
      <c r="S123" s="255"/>
      <c r="T123" s="255"/>
      <c r="U123" s="255"/>
      <c r="V123" s="255"/>
      <c r="W123" s="255"/>
      <c r="X123" s="255"/>
      <c r="Y123" s="255"/>
      <c r="Z123" s="255"/>
      <c r="AA123" s="255"/>
      <c r="AB123" s="255"/>
      <c r="AC123" s="268"/>
      <c r="AD123" s="346"/>
    </row>
    <row r="124" spans="1:30" s="5" customFormat="1" ht="12">
      <c r="A124" s="58"/>
      <c r="B124" s="58"/>
      <c r="C124" s="295" t="s">
        <v>520</v>
      </c>
      <c r="D124" s="212"/>
      <c r="E124" s="220"/>
      <c r="F124" s="83">
        <f t="shared" ref="F124:AC124" si="40">F106+F108+F118+F120+F122</f>
        <v>0</v>
      </c>
      <c r="G124" s="83">
        <f t="shared" si="40"/>
        <v>0</v>
      </c>
      <c r="H124" s="83">
        <f t="shared" si="40"/>
        <v>5856.3525739389097</v>
      </c>
      <c r="I124" s="83">
        <f t="shared" si="40"/>
        <v>6441.9878313328018</v>
      </c>
      <c r="J124" s="83">
        <f t="shared" si="40"/>
        <v>7039.3357938745639</v>
      </c>
      <c r="K124" s="83">
        <f t="shared" si="40"/>
        <v>7648.6307156671737</v>
      </c>
      <c r="L124" s="83">
        <f t="shared" si="40"/>
        <v>8270.1115358956304</v>
      </c>
      <c r="M124" s="83">
        <f t="shared" si="40"/>
        <v>8904.021972528657</v>
      </c>
      <c r="N124" s="83">
        <f t="shared" si="40"/>
        <v>9550.6106178943464</v>
      </c>
      <c r="O124" s="83">
        <f t="shared" si="40"/>
        <v>10210.13103616734</v>
      </c>
      <c r="P124" s="83">
        <f t="shared" si="40"/>
        <v>10882.841862805808</v>
      </c>
      <c r="Q124" s="83">
        <f t="shared" si="40"/>
        <v>11569.006905977036</v>
      </c>
      <c r="R124" s="83">
        <f t="shared" si="40"/>
        <v>12268.89525001169</v>
      </c>
      <c r="S124" s="83">
        <f t="shared" si="40"/>
        <v>12982.781360927029</v>
      </c>
      <c r="T124" s="83">
        <f t="shared" si="40"/>
        <v>13710.945194060685</v>
      </c>
      <c r="U124" s="83">
        <f t="shared" si="40"/>
        <v>14453.672303857018</v>
      </c>
      <c r="V124" s="83">
        <f t="shared" si="40"/>
        <v>15211.253955849266</v>
      </c>
      <c r="W124" s="83">
        <f t="shared" si="40"/>
        <v>15983.98724088137</v>
      </c>
      <c r="X124" s="83">
        <f t="shared" si="40"/>
        <v>16772.175191614104</v>
      </c>
      <c r="Y124" s="83">
        <f t="shared" si="40"/>
        <v>17576.126901361502</v>
      </c>
      <c r="Z124" s="83">
        <f t="shared" si="40"/>
        <v>18396.157645303854</v>
      </c>
      <c r="AA124" s="83">
        <f t="shared" si="40"/>
        <v>19232.589004125024</v>
      </c>
      <c r="AB124" s="83">
        <f t="shared" si="40"/>
        <v>20085.748990122655</v>
      </c>
      <c r="AC124" s="272">
        <f t="shared" si="40"/>
        <v>20955.972175840216</v>
      </c>
      <c r="AD124" s="355">
        <f t="shared" si="27"/>
        <v>284003.33606003667</v>
      </c>
    </row>
    <row r="125" spans="1:30" s="110" customFormat="1" ht="12">
      <c r="A125" s="107"/>
      <c r="B125" s="107"/>
      <c r="C125" s="108"/>
      <c r="D125" s="208"/>
      <c r="E125" s="216"/>
      <c r="F125" s="109"/>
      <c r="G125" s="109"/>
      <c r="H125" s="109"/>
      <c r="I125" s="109"/>
      <c r="J125" s="109"/>
      <c r="K125" s="109"/>
      <c r="L125" s="109"/>
      <c r="M125" s="109"/>
      <c r="N125" s="109"/>
      <c r="O125" s="109"/>
      <c r="P125" s="109"/>
      <c r="Q125" s="109"/>
      <c r="R125" s="109"/>
      <c r="S125" s="109"/>
      <c r="T125" s="109"/>
      <c r="U125" s="109"/>
      <c r="V125" s="109"/>
      <c r="W125" s="109"/>
      <c r="X125" s="109"/>
      <c r="Y125" s="109"/>
      <c r="Z125" s="109"/>
    </row>
    <row r="126" spans="1:30" s="93" customFormat="1" ht="12">
      <c r="A126" s="93" t="s">
        <v>347</v>
      </c>
      <c r="D126" s="211"/>
      <c r="E126" s="222"/>
      <c r="H126" s="92"/>
      <c r="I126" s="92"/>
      <c r="J126" s="92"/>
      <c r="K126" s="92"/>
      <c r="L126" s="92"/>
      <c r="M126" s="92"/>
      <c r="N126" s="92"/>
      <c r="O126" s="92"/>
      <c r="P126" s="92"/>
      <c r="Q126" s="92"/>
      <c r="R126" s="92"/>
      <c r="S126" s="92"/>
      <c r="T126" s="92"/>
      <c r="U126" s="92"/>
      <c r="V126" s="92"/>
      <c r="W126" s="92"/>
      <c r="X126" s="92"/>
      <c r="Y126" s="92"/>
    </row>
    <row r="127" spans="1:30" s="93" customFormat="1" ht="12">
      <c r="D127" s="211"/>
      <c r="E127" s="222"/>
      <c r="H127" s="106"/>
      <c r="I127" s="106"/>
      <c r="J127" s="106"/>
      <c r="K127" s="106"/>
      <c r="L127" s="106"/>
      <c r="M127" s="106"/>
      <c r="N127" s="106"/>
      <c r="O127" s="106"/>
      <c r="P127" s="106"/>
      <c r="Q127" s="106"/>
      <c r="R127" s="106"/>
      <c r="S127" s="106"/>
      <c r="T127" s="106"/>
      <c r="U127" s="106"/>
      <c r="V127" s="106"/>
      <c r="W127" s="106"/>
      <c r="X127" s="106"/>
      <c r="Y127" s="106"/>
    </row>
    <row r="128" spans="1:30" s="110" customFormat="1" ht="12">
      <c r="A128" s="91"/>
      <c r="B128" s="91"/>
      <c r="C128" s="291" t="s">
        <v>502</v>
      </c>
      <c r="D128" s="211"/>
      <c r="E128" s="290">
        <f>SUM(F128:AC128)</f>
        <v>1128698.3574399711</v>
      </c>
      <c r="F128" s="255">
        <f t="shared" ref="F128:AC128" si="41">F5+F6+F48+F55+F68+F74+F77+F94+F99+F124</f>
        <v>0</v>
      </c>
      <c r="G128" s="255">
        <f t="shared" si="41"/>
        <v>-275620</v>
      </c>
      <c r="H128" s="255">
        <f t="shared" si="41"/>
        <v>22724.679748307091</v>
      </c>
      <c r="I128" s="255">
        <f t="shared" si="41"/>
        <v>33534.363656249297</v>
      </c>
      <c r="J128" s="255">
        <f t="shared" si="41"/>
        <v>36313.549854344725</v>
      </c>
      <c r="K128" s="255">
        <f t="shared" si="41"/>
        <v>39041.343158955046</v>
      </c>
      <c r="L128" s="255">
        <f t="shared" si="41"/>
        <v>41716.185089325023</v>
      </c>
      <c r="M128" s="255">
        <f t="shared" si="41"/>
        <v>44336.926519545719</v>
      </c>
      <c r="N128" s="255">
        <f t="shared" si="41"/>
        <v>47096.888740639661</v>
      </c>
      <c r="O128" s="255">
        <f t="shared" si="41"/>
        <v>49818.504123215273</v>
      </c>
      <c r="P128" s="255">
        <f t="shared" si="41"/>
        <v>53271.4818059053</v>
      </c>
      <c r="Q128" s="255">
        <f t="shared" si="41"/>
        <v>56776.607745082962</v>
      </c>
      <c r="R128" s="255">
        <f t="shared" si="41"/>
        <v>60340.948606688878</v>
      </c>
      <c r="S128" s="255">
        <f t="shared" si="41"/>
        <v>63958.929548679953</v>
      </c>
      <c r="T128" s="255">
        <f t="shared" si="41"/>
        <v>67638.234396916305</v>
      </c>
      <c r="U128" s="255">
        <f t="shared" si="41"/>
        <v>71372.730996793325</v>
      </c>
      <c r="V128" s="255">
        <f t="shared" si="41"/>
        <v>75170.710509108947</v>
      </c>
      <c r="W128" s="255">
        <f t="shared" si="41"/>
        <v>79025.495390627097</v>
      </c>
      <c r="X128" s="255">
        <f t="shared" si="41"/>
        <v>82941.805635846249</v>
      </c>
      <c r="Y128" s="255">
        <f t="shared" si="41"/>
        <v>86925.360079015576</v>
      </c>
      <c r="Z128" s="255">
        <f t="shared" si="41"/>
        <v>91289.009742754497</v>
      </c>
      <c r="AA128" s="255">
        <f t="shared" si="41"/>
        <v>95751.933313061803</v>
      </c>
      <c r="AB128" s="255">
        <f t="shared" si="41"/>
        <v>100306.93964993602</v>
      </c>
      <c r="AC128" s="255">
        <f t="shared" si="41"/>
        <v>104965.72912897228</v>
      </c>
    </row>
    <row r="129" spans="1:29" s="93" customFormat="1" ht="12">
      <c r="A129" s="91"/>
      <c r="B129" s="91"/>
      <c r="C129" s="70" t="s">
        <v>180</v>
      </c>
      <c r="D129" s="211"/>
      <c r="E129" s="218"/>
      <c r="F129" s="106">
        <f>1/1.03</f>
        <v>0.970873786407767</v>
      </c>
      <c r="G129" s="106">
        <f>F129/1.03</f>
        <v>0.94259590913375435</v>
      </c>
      <c r="H129" s="106">
        <f t="shared" ref="H129:AC129" si="42">G129/1.03</f>
        <v>0.9151416593531595</v>
      </c>
      <c r="I129" s="106">
        <f t="shared" si="42"/>
        <v>0.88848704791568878</v>
      </c>
      <c r="J129" s="106">
        <f t="shared" si="42"/>
        <v>0.86260878438416388</v>
      </c>
      <c r="K129" s="106">
        <f t="shared" si="42"/>
        <v>0.83748425668365423</v>
      </c>
      <c r="L129" s="106">
        <f t="shared" si="42"/>
        <v>0.81309151134335356</v>
      </c>
      <c r="M129" s="106">
        <f t="shared" si="42"/>
        <v>0.7894092343139355</v>
      </c>
      <c r="N129" s="106">
        <f t="shared" si="42"/>
        <v>0.76641673234362673</v>
      </c>
      <c r="O129" s="106">
        <f t="shared" si="42"/>
        <v>0.74409391489672494</v>
      </c>
      <c r="P129" s="106">
        <f t="shared" si="42"/>
        <v>0.7224212765987621</v>
      </c>
      <c r="Q129" s="106">
        <f t="shared" si="42"/>
        <v>0.70137988019297293</v>
      </c>
      <c r="R129" s="106">
        <f t="shared" si="42"/>
        <v>0.68095133999317758</v>
      </c>
      <c r="S129" s="106">
        <f t="shared" si="42"/>
        <v>0.66111780581861901</v>
      </c>
      <c r="T129" s="106">
        <f t="shared" si="42"/>
        <v>0.64186194739671742</v>
      </c>
      <c r="U129" s="106">
        <f t="shared" si="42"/>
        <v>0.62316693922011401</v>
      </c>
      <c r="V129" s="106">
        <f t="shared" si="42"/>
        <v>0.60501644584477088</v>
      </c>
      <c r="W129" s="106">
        <f t="shared" si="42"/>
        <v>0.58739460761628237</v>
      </c>
      <c r="X129" s="106">
        <f t="shared" si="42"/>
        <v>0.57028602681192464</v>
      </c>
      <c r="Y129" s="106">
        <f t="shared" si="42"/>
        <v>0.55367575418633463</v>
      </c>
      <c r="Z129" s="106">
        <f t="shared" si="42"/>
        <v>0.53754927590906276</v>
      </c>
      <c r="AA129" s="106">
        <f t="shared" si="42"/>
        <v>0.52189250088258521</v>
      </c>
      <c r="AB129" s="106">
        <f t="shared" si="42"/>
        <v>0.50669174842969433</v>
      </c>
      <c r="AC129" s="106">
        <f t="shared" si="42"/>
        <v>0.49193373633950904</v>
      </c>
    </row>
    <row r="130" spans="1:29" s="110" customFormat="1" ht="12">
      <c r="A130" s="107"/>
      <c r="B130" s="107"/>
      <c r="C130" s="108" t="s">
        <v>178</v>
      </c>
      <c r="D130" s="208"/>
      <c r="E130" s="216">
        <f>SUM(F130:AC130)</f>
        <v>635303.02271765994</v>
      </c>
      <c r="F130" s="109">
        <f>F128*F129</f>
        <v>0</v>
      </c>
      <c r="G130" s="109">
        <f t="shared" ref="G130:AC130" si="43">G128*G129</f>
        <v>-259798.28447544537</v>
      </c>
      <c r="H130" s="109">
        <f t="shared" si="43"/>
        <v>20796.30113313489</v>
      </c>
      <c r="I130" s="109">
        <f t="shared" si="43"/>
        <v>29794.847768672102</v>
      </c>
      <c r="J130" s="109">
        <f t="shared" si="43"/>
        <v>31324.387096530034</v>
      </c>
      <c r="K130" s="109">
        <f t="shared" si="43"/>
        <v>32696.510255408935</v>
      </c>
      <c r="L130" s="109">
        <f t="shared" si="43"/>
        <v>33919.075981758353</v>
      </c>
      <c r="M130" s="109">
        <f t="shared" si="43"/>
        <v>34999.979215627805</v>
      </c>
      <c r="N130" s="109">
        <f t="shared" si="43"/>
        <v>36095.843572152393</v>
      </c>
      <c r="O130" s="109">
        <f t="shared" si="43"/>
        <v>37069.645767341884</v>
      </c>
      <c r="P130" s="109">
        <f t="shared" si="43"/>
        <v>38484.451892529833</v>
      </c>
      <c r="Q130" s="109">
        <f t="shared" si="43"/>
        <v>39821.970338009705</v>
      </c>
      <c r="R130" s="109">
        <f t="shared" si="43"/>
        <v>41089.24981018425</v>
      </c>
      <c r="S130" s="109">
        <f t="shared" si="43"/>
        <v>42284.387165730928</v>
      </c>
      <c r="T130" s="109">
        <f t="shared" si="43"/>
        <v>43414.408848480336</v>
      </c>
      <c r="U130" s="109">
        <f t="shared" si="43"/>
        <v>44477.126319052251</v>
      </c>
      <c r="V130" s="109">
        <f t="shared" si="43"/>
        <v>45479.516103847265</v>
      </c>
      <c r="W130" s="109">
        <f t="shared" si="43"/>
        <v>46419.149856659737</v>
      </c>
      <c r="X130" s="109">
        <f t="shared" si="43"/>
        <v>47300.552792673654</v>
      </c>
      <c r="Y130" s="109">
        <f t="shared" si="43"/>
        <v>48128.464299667656</v>
      </c>
      <c r="Z130" s="109">
        <f t="shared" si="43"/>
        <v>49072.341085673055</v>
      </c>
      <c r="AA130" s="109">
        <f t="shared" si="43"/>
        <v>49972.21594109635</v>
      </c>
      <c r="AB130" s="109">
        <f t="shared" si="43"/>
        <v>50824.698630857914</v>
      </c>
      <c r="AC130" s="109">
        <f t="shared" si="43"/>
        <v>51636.18331801617</v>
      </c>
    </row>
    <row r="131" spans="1:29" s="110" customFormat="1" ht="12">
      <c r="A131" s="91"/>
      <c r="B131" s="91"/>
      <c r="C131" s="70" t="s">
        <v>181</v>
      </c>
      <c r="D131" s="211"/>
      <c r="E131" s="218"/>
      <c r="F131" s="106">
        <f>1/1.07</f>
        <v>0.93457943925233644</v>
      </c>
      <c r="G131" s="106">
        <f>F131/1.07</f>
        <v>0.87343872827321156</v>
      </c>
      <c r="H131" s="106">
        <f t="shared" ref="H131:AC131" si="44">G131/1.07</f>
        <v>0.81629787689085187</v>
      </c>
      <c r="I131" s="106">
        <f t="shared" si="44"/>
        <v>0.76289521204752508</v>
      </c>
      <c r="J131" s="106">
        <f t="shared" si="44"/>
        <v>0.71298617948366827</v>
      </c>
      <c r="K131" s="106">
        <f t="shared" si="44"/>
        <v>0.66634222381651231</v>
      </c>
      <c r="L131" s="106">
        <f t="shared" si="44"/>
        <v>0.62274974188459087</v>
      </c>
      <c r="M131" s="106">
        <f t="shared" si="44"/>
        <v>0.58200910456503818</v>
      </c>
      <c r="N131" s="106">
        <f t="shared" si="44"/>
        <v>0.54393374258414784</v>
      </c>
      <c r="O131" s="106">
        <f t="shared" si="44"/>
        <v>0.50834929213471758</v>
      </c>
      <c r="P131" s="106">
        <f t="shared" si="44"/>
        <v>0.4750927963875865</v>
      </c>
      <c r="Q131" s="106">
        <f t="shared" si="44"/>
        <v>0.444011959240735</v>
      </c>
      <c r="R131" s="106">
        <f t="shared" si="44"/>
        <v>0.41496444788853737</v>
      </c>
      <c r="S131" s="106">
        <f t="shared" si="44"/>
        <v>0.38781724101732462</v>
      </c>
      <c r="T131" s="106">
        <f t="shared" si="44"/>
        <v>0.36244601964235945</v>
      </c>
      <c r="U131" s="106">
        <f t="shared" si="44"/>
        <v>0.33873459779659759</v>
      </c>
      <c r="V131" s="106">
        <f t="shared" si="44"/>
        <v>0.3165743904641099</v>
      </c>
      <c r="W131" s="106">
        <f t="shared" si="44"/>
        <v>0.29586391632159803</v>
      </c>
      <c r="X131" s="106">
        <f t="shared" si="44"/>
        <v>0.27650833301083927</v>
      </c>
      <c r="Y131" s="106">
        <f t="shared" si="44"/>
        <v>0.25841900281386848</v>
      </c>
      <c r="Z131" s="106">
        <f t="shared" si="44"/>
        <v>0.24151308674193314</v>
      </c>
      <c r="AA131" s="106">
        <f t="shared" si="44"/>
        <v>0.22571316517937676</v>
      </c>
      <c r="AB131" s="106">
        <f t="shared" si="44"/>
        <v>0.21094688334521192</v>
      </c>
      <c r="AC131" s="106">
        <f t="shared" si="44"/>
        <v>0.19714661994879618</v>
      </c>
    </row>
    <row r="132" spans="1:29" s="110" customFormat="1" ht="12">
      <c r="A132" s="107"/>
      <c r="B132" s="107"/>
      <c r="C132" s="108" t="s">
        <v>179</v>
      </c>
      <c r="D132" s="208"/>
      <c r="E132" s="216">
        <f>SUM(F132:AC132)</f>
        <v>285170.06573232228</v>
      </c>
      <c r="F132" s="109">
        <f>F128*F131</f>
        <v>0</v>
      </c>
      <c r="G132" s="109">
        <f t="shared" ref="G132:AC132" si="45">G128*G131</f>
        <v>-240737.18228666257</v>
      </c>
      <c r="H132" s="109">
        <f t="shared" si="45"/>
        <v>18550.107831567617</v>
      </c>
      <c r="I132" s="109">
        <f t="shared" si="45"/>
        <v>25583.205472413127</v>
      </c>
      <c r="J132" s="109">
        <f t="shared" si="45"/>
        <v>25891.059174138965</v>
      </c>
      <c r="K132" s="109">
        <f t="shared" si="45"/>
        <v>26014.895421321686</v>
      </c>
      <c r="L132" s="109">
        <f t="shared" si="45"/>
        <v>25978.743496786978</v>
      </c>
      <c r="M132" s="109">
        <f t="shared" si="45"/>
        <v>25804.494902806699</v>
      </c>
      <c r="N132" s="109">
        <f t="shared" si="45"/>
        <v>25617.586956765343</v>
      </c>
      <c r="O132" s="109">
        <f t="shared" si="45"/>
        <v>25325.201306246992</v>
      </c>
      <c r="P132" s="109">
        <f t="shared" si="45"/>
        <v>25308.897258877987</v>
      </c>
      <c r="Q132" s="109">
        <f t="shared" si="45"/>
        <v>25209.492843936976</v>
      </c>
      <c r="R132" s="109">
        <f t="shared" si="45"/>
        <v>25039.34842364526</v>
      </c>
      <c r="S132" s="109">
        <f t="shared" si="45"/>
        <v>24804.375595990499</v>
      </c>
      <c r="T132" s="109">
        <f t="shared" si="45"/>
        <v>24515.208832799239</v>
      </c>
      <c r="U132" s="109">
        <f t="shared" si="45"/>
        <v>24176.41332784354</v>
      </c>
      <c r="V132" s="109">
        <f t="shared" si="45"/>
        <v>23797.121860175226</v>
      </c>
      <c r="W132" s="109">
        <f t="shared" si="45"/>
        <v>23380.792555525328</v>
      </c>
      <c r="X132" s="109">
        <f t="shared" si="45"/>
        <v>22934.100413276879</v>
      </c>
      <c r="Y132" s="109">
        <f t="shared" si="45"/>
        <v>22463.164870855657</v>
      </c>
      <c r="Z132" s="109">
        <f t="shared" si="45"/>
        <v>22047.490528587048</v>
      </c>
      <c r="AA132" s="109">
        <f t="shared" si="45"/>
        <v>21612.471940135787</v>
      </c>
      <c r="AB132" s="109">
        <f t="shared" si="45"/>
        <v>21159.436297050266</v>
      </c>
      <c r="AC132" s="109">
        <f t="shared" si="45"/>
        <v>20693.638708237781</v>
      </c>
    </row>
    <row r="133" spans="1:29" s="53" customFormat="1" ht="12">
      <c r="A133" s="107"/>
      <c r="B133" s="107"/>
      <c r="C133" s="108"/>
      <c r="D133" s="208"/>
      <c r="E133" s="216"/>
      <c r="F133" s="109"/>
      <c r="G133" s="109"/>
    </row>
    <row r="134" spans="1:29" s="53" customFormat="1" ht="12">
      <c r="A134" s="45"/>
      <c r="B134" s="45"/>
      <c r="C134" s="282" t="s">
        <v>185</v>
      </c>
      <c r="D134" s="213"/>
      <c r="E134" s="303">
        <f>IRR(F128:AC128)</f>
        <v>0.15938369787334747</v>
      </c>
      <c r="F134" s="45"/>
      <c r="G134" s="57"/>
    </row>
    <row r="135" spans="1:29" s="113" customFormat="1" ht="12">
      <c r="A135" s="111"/>
      <c r="B135" s="111"/>
      <c r="C135" s="115"/>
      <c r="D135" s="117"/>
      <c r="E135" s="111"/>
      <c r="F135" s="112"/>
      <c r="G135" s="112"/>
      <c r="H135" s="112"/>
      <c r="I135" s="112"/>
      <c r="J135" s="112"/>
      <c r="K135" s="112"/>
      <c r="L135" s="112"/>
      <c r="M135" s="112"/>
      <c r="N135" s="112"/>
      <c r="O135" s="112"/>
      <c r="P135" s="112"/>
      <c r="Q135" s="112"/>
      <c r="R135" s="112"/>
      <c r="S135" s="112"/>
      <c r="T135" s="112"/>
      <c r="U135" s="112"/>
      <c r="V135" s="112"/>
      <c r="W135" s="112"/>
      <c r="X135" s="112"/>
      <c r="Y135" s="112"/>
    </row>
    <row r="136" spans="1:29" s="113" customFormat="1" ht="12">
      <c r="A136" s="111"/>
      <c r="B136" s="111"/>
      <c r="C136" s="118"/>
      <c r="D136" s="117"/>
      <c r="E136" s="111"/>
      <c r="F136" s="111"/>
      <c r="G136" s="114"/>
    </row>
    <row r="137" spans="1:29" s="113" customFormat="1" ht="12">
      <c r="A137" s="111"/>
      <c r="B137" s="111"/>
      <c r="C137" s="115"/>
      <c r="D137" s="119"/>
      <c r="E137" s="120"/>
      <c r="F137" s="120"/>
      <c r="G137" s="116"/>
      <c r="H137" s="116"/>
      <c r="I137" s="116"/>
      <c r="J137" s="116"/>
      <c r="K137" s="116"/>
      <c r="L137" s="116"/>
      <c r="M137" s="116"/>
      <c r="N137" s="116"/>
      <c r="O137" s="116"/>
      <c r="P137" s="116"/>
      <c r="Q137" s="116"/>
      <c r="R137" s="116"/>
      <c r="S137" s="116"/>
      <c r="T137" s="116"/>
      <c r="U137" s="116"/>
      <c r="V137" s="116"/>
      <c r="W137" s="116"/>
      <c r="X137" s="116"/>
      <c r="Y137" s="116"/>
    </row>
    <row r="138" spans="1:29" s="113" customFormat="1" ht="12">
      <c r="A138" s="111"/>
      <c r="B138" s="111"/>
      <c r="D138" s="121"/>
      <c r="E138" s="120"/>
      <c r="F138" s="120"/>
      <c r="G138" s="116"/>
      <c r="H138" s="116"/>
      <c r="I138" s="116"/>
      <c r="J138" s="116"/>
      <c r="K138" s="116"/>
      <c r="L138" s="116"/>
      <c r="M138" s="116"/>
      <c r="N138" s="116"/>
      <c r="O138" s="116"/>
      <c r="P138" s="116"/>
      <c r="Q138" s="116"/>
      <c r="R138" s="116"/>
      <c r="S138" s="116"/>
      <c r="T138" s="116"/>
      <c r="U138" s="116"/>
      <c r="V138" s="116"/>
      <c r="W138" s="116"/>
      <c r="X138" s="116"/>
      <c r="Y138" s="116"/>
    </row>
    <row r="139" spans="1:29" s="113" customFormat="1" ht="12">
      <c r="A139" s="111"/>
      <c r="B139" s="111"/>
      <c r="D139" s="121"/>
      <c r="E139" s="120"/>
      <c r="F139" s="120"/>
      <c r="G139" s="116"/>
      <c r="H139" s="116"/>
      <c r="I139" s="116"/>
      <c r="J139" s="116"/>
      <c r="K139" s="116"/>
      <c r="L139" s="116"/>
      <c r="M139" s="116"/>
      <c r="N139" s="116"/>
      <c r="O139" s="116"/>
      <c r="P139" s="116"/>
      <c r="Q139" s="116"/>
      <c r="R139" s="116"/>
      <c r="S139" s="116"/>
      <c r="T139" s="116"/>
      <c r="U139" s="116"/>
      <c r="V139" s="116"/>
      <c r="W139" s="116"/>
      <c r="X139" s="116"/>
      <c r="Y139" s="116"/>
    </row>
    <row r="140" spans="1:29" s="113" customFormat="1" ht="15.75">
      <c r="A140" s="111"/>
      <c r="B140" s="111"/>
      <c r="C140" s="401" t="s">
        <v>1</v>
      </c>
      <c r="D140" s="418">
        <f>SUM(D141:D144)</f>
        <v>697.19097182013593</v>
      </c>
      <c r="E140" s="42"/>
      <c r="F140" s="42"/>
      <c r="G140" s="42"/>
      <c r="H140" s="42"/>
      <c r="I140" s="42"/>
      <c r="J140" s="42"/>
      <c r="K140" s="42"/>
      <c r="L140" s="42"/>
      <c r="M140" s="42"/>
      <c r="N140" s="42"/>
      <c r="O140" s="42"/>
      <c r="P140" s="42"/>
      <c r="Q140" s="42"/>
      <c r="R140" s="42"/>
      <c r="S140" s="42"/>
      <c r="T140" s="42"/>
      <c r="U140" s="42"/>
      <c r="V140" s="42"/>
      <c r="W140" s="42"/>
      <c r="X140" s="42"/>
      <c r="Y140" s="42"/>
      <c r="Z140" s="42"/>
      <c r="AA140" s="42"/>
      <c r="AB140" s="42"/>
      <c r="AC140" s="42"/>
    </row>
    <row r="141" spans="1:29" s="113" customFormat="1" ht="15.75">
      <c r="A141" s="111"/>
      <c r="B141" s="111"/>
      <c r="C141" s="403" t="s">
        <v>196</v>
      </c>
      <c r="D141" s="416">
        <f>-SUM(F141:AC141)/1000</f>
        <v>283.60000000000002</v>
      </c>
      <c r="E141" s="25"/>
      <c r="F141" s="422">
        <f>F6</f>
        <v>0</v>
      </c>
      <c r="G141" s="422">
        <f t="shared" ref="G141:AC141" si="46">G6</f>
        <v>-275620</v>
      </c>
      <c r="H141" s="422">
        <f t="shared" si="46"/>
        <v>-7980</v>
      </c>
      <c r="I141" s="422">
        <f t="shared" si="46"/>
        <v>0</v>
      </c>
      <c r="J141" s="422">
        <f t="shared" si="46"/>
        <v>0</v>
      </c>
      <c r="K141" s="422">
        <f t="shared" si="46"/>
        <v>0</v>
      </c>
      <c r="L141" s="422">
        <f t="shared" si="46"/>
        <v>0</v>
      </c>
      <c r="M141" s="422">
        <f t="shared" si="46"/>
        <v>0</v>
      </c>
      <c r="N141" s="422">
        <f t="shared" si="46"/>
        <v>0</v>
      </c>
      <c r="O141" s="422">
        <f t="shared" si="46"/>
        <v>0</v>
      </c>
      <c r="P141" s="422">
        <f t="shared" si="46"/>
        <v>0</v>
      </c>
      <c r="Q141" s="422">
        <f t="shared" si="46"/>
        <v>0</v>
      </c>
      <c r="R141" s="422">
        <f t="shared" si="46"/>
        <v>0</v>
      </c>
      <c r="S141" s="422">
        <f t="shared" si="46"/>
        <v>0</v>
      </c>
      <c r="T141" s="422">
        <f t="shared" si="46"/>
        <v>0</v>
      </c>
      <c r="U141" s="422">
        <f t="shared" si="46"/>
        <v>0</v>
      </c>
      <c r="V141" s="422">
        <f t="shared" si="46"/>
        <v>0</v>
      </c>
      <c r="W141" s="422">
        <f t="shared" si="46"/>
        <v>0</v>
      </c>
      <c r="X141" s="422">
        <f t="shared" si="46"/>
        <v>0</v>
      </c>
      <c r="Y141" s="422">
        <f t="shared" si="46"/>
        <v>0</v>
      </c>
      <c r="Z141" s="422">
        <f t="shared" si="46"/>
        <v>0</v>
      </c>
      <c r="AA141" s="422">
        <f t="shared" si="46"/>
        <v>0</v>
      </c>
      <c r="AB141" s="422">
        <f t="shared" si="46"/>
        <v>0</v>
      </c>
      <c r="AC141" s="422">
        <f t="shared" si="46"/>
        <v>0</v>
      </c>
    </row>
    <row r="142" spans="1:29" s="113" customFormat="1" ht="15.75">
      <c r="A142" s="111"/>
      <c r="B142" s="111"/>
      <c r="C142" s="403" t="s">
        <v>197</v>
      </c>
      <c r="D142" s="416">
        <f>-SUM(F142:AC142)/1000</f>
        <v>99</v>
      </c>
      <c r="E142" s="42"/>
      <c r="F142" s="422">
        <f>F5</f>
        <v>0</v>
      </c>
      <c r="G142" s="422">
        <f t="shared" ref="G142:AC142" si="47">G5</f>
        <v>0</v>
      </c>
      <c r="H142" s="422">
        <f t="shared" si="47"/>
        <v>-4500</v>
      </c>
      <c r="I142" s="422">
        <f t="shared" si="47"/>
        <v>-4500</v>
      </c>
      <c r="J142" s="422">
        <f t="shared" si="47"/>
        <v>-4500</v>
      </c>
      <c r="K142" s="422">
        <f t="shared" si="47"/>
        <v>-4500</v>
      </c>
      <c r="L142" s="422">
        <f t="shared" si="47"/>
        <v>-4500</v>
      </c>
      <c r="M142" s="422">
        <f t="shared" si="47"/>
        <v>-4500</v>
      </c>
      <c r="N142" s="422">
        <f t="shared" si="47"/>
        <v>-4500</v>
      </c>
      <c r="O142" s="422">
        <f t="shared" si="47"/>
        <v>-4500</v>
      </c>
      <c r="P142" s="422">
        <f t="shared" si="47"/>
        <v>-4500</v>
      </c>
      <c r="Q142" s="422">
        <f t="shared" si="47"/>
        <v>-4500</v>
      </c>
      <c r="R142" s="422">
        <f t="shared" si="47"/>
        <v>-4500</v>
      </c>
      <c r="S142" s="422">
        <f t="shared" si="47"/>
        <v>-4500</v>
      </c>
      <c r="T142" s="422">
        <f t="shared" si="47"/>
        <v>-4500</v>
      </c>
      <c r="U142" s="422">
        <f t="shared" si="47"/>
        <v>-4500</v>
      </c>
      <c r="V142" s="422">
        <f t="shared" si="47"/>
        <v>-4500</v>
      </c>
      <c r="W142" s="422">
        <f t="shared" si="47"/>
        <v>-4500</v>
      </c>
      <c r="X142" s="422">
        <f t="shared" si="47"/>
        <v>-4500</v>
      </c>
      <c r="Y142" s="422">
        <f t="shared" si="47"/>
        <v>-4500</v>
      </c>
      <c r="Z142" s="422">
        <f t="shared" si="47"/>
        <v>-4500</v>
      </c>
      <c r="AA142" s="422">
        <f t="shared" si="47"/>
        <v>-4500</v>
      </c>
      <c r="AB142" s="422">
        <f t="shared" si="47"/>
        <v>-4500</v>
      </c>
      <c r="AC142" s="422">
        <f t="shared" si="47"/>
        <v>-4500</v>
      </c>
    </row>
    <row r="143" spans="1:29" s="113" customFormat="1" ht="15.75">
      <c r="A143" s="111"/>
      <c r="B143" s="111"/>
      <c r="C143" s="404" t="s">
        <v>546</v>
      </c>
      <c r="D143" s="416">
        <f>-SUM(F143:AC143)/1000</f>
        <v>0</v>
      </c>
      <c r="E143" s="42"/>
      <c r="F143" s="422">
        <f>0</f>
        <v>0</v>
      </c>
      <c r="G143" s="422">
        <f>0</f>
        <v>0</v>
      </c>
      <c r="H143" s="422">
        <f>0</f>
        <v>0</v>
      </c>
      <c r="I143" s="422">
        <f>0</f>
        <v>0</v>
      </c>
      <c r="J143" s="422">
        <f>0</f>
        <v>0</v>
      </c>
      <c r="K143" s="422">
        <f>0</f>
        <v>0</v>
      </c>
      <c r="L143" s="422">
        <f>0</f>
        <v>0</v>
      </c>
      <c r="M143" s="422">
        <f>0</f>
        <v>0</v>
      </c>
      <c r="N143" s="422">
        <f>0</f>
        <v>0</v>
      </c>
      <c r="O143" s="422">
        <f>0</f>
        <v>0</v>
      </c>
      <c r="P143" s="422">
        <f>0</f>
        <v>0</v>
      </c>
      <c r="Q143" s="422">
        <f>0</f>
        <v>0</v>
      </c>
      <c r="R143" s="422">
        <f>0</f>
        <v>0</v>
      </c>
      <c r="S143" s="422">
        <f>0</f>
        <v>0</v>
      </c>
      <c r="T143" s="422">
        <f>0</f>
        <v>0</v>
      </c>
      <c r="U143" s="422">
        <f>0</f>
        <v>0</v>
      </c>
      <c r="V143" s="422">
        <f>0</f>
        <v>0</v>
      </c>
      <c r="W143" s="422">
        <f>0</f>
        <v>0</v>
      </c>
      <c r="X143" s="422">
        <f>0</f>
        <v>0</v>
      </c>
      <c r="Y143" s="422">
        <f>0</f>
        <v>0</v>
      </c>
      <c r="Z143" s="422">
        <f>0</f>
        <v>0</v>
      </c>
      <c r="AA143" s="422">
        <f>0</f>
        <v>0</v>
      </c>
      <c r="AB143" s="422">
        <f>0</f>
        <v>0</v>
      </c>
      <c r="AC143" s="422">
        <f>0</f>
        <v>0</v>
      </c>
    </row>
    <row r="144" spans="1:29" s="113" customFormat="1" ht="15.75">
      <c r="A144" s="111"/>
      <c r="B144" s="111"/>
      <c r="C144" s="403" t="s">
        <v>198</v>
      </c>
      <c r="D144" s="416">
        <f>-SUM(F144:AC144)/1000</f>
        <v>314.59097182013585</v>
      </c>
      <c r="E144" s="43"/>
      <c r="F144" s="422">
        <f>F106+F108</f>
        <v>0</v>
      </c>
      <c r="G144" s="422">
        <f t="shared" ref="G144:AC144" si="48">G106+G108</f>
        <v>0</v>
      </c>
      <c r="H144" s="422">
        <f t="shared" si="48"/>
        <v>-6487.0915712318674</v>
      </c>
      <c r="I144" s="422">
        <f t="shared" si="48"/>
        <v>-7135.8007283550533</v>
      </c>
      <c r="J144" s="422">
        <f t="shared" si="48"/>
        <v>-7797.4840686207044</v>
      </c>
      <c r="K144" s="422">
        <f t="shared" si="48"/>
        <v>-8472.4010756916668</v>
      </c>
      <c r="L144" s="422">
        <f t="shared" si="48"/>
        <v>-9160.8164229040485</v>
      </c>
      <c r="M144" s="422">
        <f t="shared" si="48"/>
        <v>-9863.0000770606821</v>
      </c>
      <c r="N144" s="422">
        <f t="shared" si="48"/>
        <v>-10579.227404300453</v>
      </c>
      <c r="O144" s="422">
        <f t="shared" si="48"/>
        <v>-11309.779278085003</v>
      </c>
      <c r="P144" s="422">
        <f t="shared" si="48"/>
        <v>-12054.94218934526</v>
      </c>
      <c r="Q144" s="422">
        <f t="shared" si="48"/>
        <v>-12815.008358830715</v>
      </c>
      <c r="R144" s="422">
        <f t="shared" si="48"/>
        <v>-13590.275851705877</v>
      </c>
      <c r="S144" s="422">
        <f t="shared" si="48"/>
        <v>-14381.048694438537</v>
      </c>
      <c r="T144" s="422">
        <f t="shared" si="48"/>
        <v>-15187.636994025866</v>
      </c>
      <c r="U144" s="422">
        <f t="shared" si="48"/>
        <v>-16010.35705960493</v>
      </c>
      <c r="V144" s="422">
        <f t="shared" si="48"/>
        <v>-16849.531526495575</v>
      </c>
      <c r="W144" s="422">
        <f t="shared" si="48"/>
        <v>-17705.489482724042</v>
      </c>
      <c r="X144" s="422">
        <f t="shared" si="48"/>
        <v>-18578.566598077072</v>
      </c>
      <c r="Y144" s="422">
        <f t="shared" si="48"/>
        <v>-19469.105255737166</v>
      </c>
      <c r="Z144" s="422">
        <f t="shared" si="48"/>
        <v>-20377.454686550456</v>
      </c>
      <c r="AA144" s="422">
        <f t="shared" si="48"/>
        <v>-21303.97110598001</v>
      </c>
      <c r="AB144" s="422">
        <f t="shared" si="48"/>
        <v>-22249.017853798166</v>
      </c>
      <c r="AC144" s="422">
        <f t="shared" si="48"/>
        <v>-23212.965536572683</v>
      </c>
    </row>
    <row r="145" spans="1:29" s="53" customFormat="1" ht="15.75">
      <c r="A145" s="45"/>
      <c r="B145" s="45"/>
      <c r="C145" s="402"/>
      <c r="D145" s="417"/>
      <c r="E145" s="25"/>
      <c r="F145" s="414">
        <f>SUM(F141:F144)</f>
        <v>0</v>
      </c>
      <c r="G145" s="414">
        <f t="shared" ref="G145:AC145" si="49">SUM(G141:G144)</f>
        <v>-275620</v>
      </c>
      <c r="H145" s="414">
        <f t="shared" si="49"/>
        <v>-18967.091571231867</v>
      </c>
      <c r="I145" s="414">
        <f t="shared" si="49"/>
        <v>-11635.800728355054</v>
      </c>
      <c r="J145" s="414">
        <f t="shared" si="49"/>
        <v>-12297.484068620704</v>
      </c>
      <c r="K145" s="414">
        <f t="shared" si="49"/>
        <v>-12972.401075691667</v>
      </c>
      <c r="L145" s="414">
        <f t="shared" si="49"/>
        <v>-13660.816422904049</v>
      </c>
      <c r="M145" s="414">
        <f t="shared" si="49"/>
        <v>-14363.000077060682</v>
      </c>
      <c r="N145" s="414">
        <f t="shared" si="49"/>
        <v>-15079.227404300453</v>
      </c>
      <c r="O145" s="414">
        <f t="shared" si="49"/>
        <v>-15809.779278085003</v>
      </c>
      <c r="P145" s="414">
        <f t="shared" si="49"/>
        <v>-16554.94218934526</v>
      </c>
      <c r="Q145" s="414">
        <f t="shared" si="49"/>
        <v>-17315.008358830717</v>
      </c>
      <c r="R145" s="414">
        <f t="shared" si="49"/>
        <v>-18090.275851705876</v>
      </c>
      <c r="S145" s="414">
        <f t="shared" si="49"/>
        <v>-18881.048694438537</v>
      </c>
      <c r="T145" s="414">
        <f t="shared" si="49"/>
        <v>-19687.636994025866</v>
      </c>
      <c r="U145" s="414">
        <f t="shared" si="49"/>
        <v>-20510.357059604932</v>
      </c>
      <c r="V145" s="414">
        <f t="shared" si="49"/>
        <v>-21349.531526495575</v>
      </c>
      <c r="W145" s="414">
        <f t="shared" si="49"/>
        <v>-22205.489482724042</v>
      </c>
      <c r="X145" s="414">
        <f t="shared" si="49"/>
        <v>-23078.566598077072</v>
      </c>
      <c r="Y145" s="414">
        <f t="shared" si="49"/>
        <v>-23969.105255737166</v>
      </c>
      <c r="Z145" s="414">
        <f t="shared" si="49"/>
        <v>-24877.454686550456</v>
      </c>
      <c r="AA145" s="414">
        <f t="shared" si="49"/>
        <v>-25803.97110598001</v>
      </c>
      <c r="AB145" s="414">
        <f t="shared" si="49"/>
        <v>-26749.017853798166</v>
      </c>
      <c r="AC145" s="414">
        <f t="shared" si="49"/>
        <v>-27712.965536572683</v>
      </c>
    </row>
    <row r="146" spans="1:29" s="53" customFormat="1" ht="15.75">
      <c r="A146" s="45"/>
      <c r="B146" s="45"/>
      <c r="C146" s="401" t="s">
        <v>0</v>
      </c>
      <c r="D146" s="418">
        <f>SUM(D147:D153)</f>
        <v>1825.8893292601065</v>
      </c>
      <c r="E146" s="25"/>
      <c r="F146" s="25"/>
      <c r="G146" s="25"/>
      <c r="H146" s="25"/>
      <c r="I146" s="25"/>
      <c r="J146" s="25"/>
      <c r="K146" s="25"/>
      <c r="L146" s="25"/>
      <c r="M146" s="25"/>
      <c r="N146" s="25"/>
      <c r="O146" s="25"/>
      <c r="P146" s="25"/>
      <c r="Q146" s="25"/>
      <c r="R146" s="25"/>
      <c r="S146" s="25"/>
      <c r="T146" s="25"/>
      <c r="U146" s="25"/>
      <c r="V146" s="25"/>
      <c r="W146" s="25"/>
      <c r="X146" s="25"/>
      <c r="Y146" s="25"/>
      <c r="Z146" s="25"/>
      <c r="AA146" s="25"/>
      <c r="AB146" s="25"/>
      <c r="AC146" s="25"/>
    </row>
    <row r="147" spans="1:29" s="53" customFormat="1" ht="15.75">
      <c r="A147" s="45"/>
      <c r="B147" s="45"/>
      <c r="C147" s="403" t="s">
        <v>577</v>
      </c>
      <c r="D147" s="416">
        <f t="shared" ref="D147:D153" si="50">SUM(F147:AC147)/1000</f>
        <v>-107.92411375882253</v>
      </c>
      <c r="E147" s="25"/>
      <c r="F147" s="422">
        <f>F35+F48</f>
        <v>0</v>
      </c>
      <c r="G147" s="422">
        <f t="shared" ref="G147:AC147" si="51">G35+G48</f>
        <v>0</v>
      </c>
      <c r="H147" s="422">
        <f t="shared" si="51"/>
        <v>-2535.896207586843</v>
      </c>
      <c r="I147" s="422">
        <f t="shared" si="51"/>
        <v>-2763.3865453021644</v>
      </c>
      <c r="J147" s="422">
        <f t="shared" si="51"/>
        <v>-2991.0046231271258</v>
      </c>
      <c r="K147" s="422">
        <f t="shared" si="51"/>
        <v>-3218.6790937948158</v>
      </c>
      <c r="L147" s="422">
        <f t="shared" si="51"/>
        <v>-3446.3354827581816</v>
      </c>
      <c r="M147" s="422">
        <f t="shared" si="51"/>
        <v>-3673.8960840688706</v>
      </c>
      <c r="N147" s="422">
        <f t="shared" si="51"/>
        <v>-3901.2798531311087</v>
      </c>
      <c r="O147" s="422">
        <f t="shared" si="51"/>
        <v>-4128.4022962414501</v>
      </c>
      <c r="P147" s="422">
        <f t="shared" si="51"/>
        <v>-4355.1753568227014</v>
      </c>
      <c r="Q147" s="422">
        <f t="shared" si="51"/>
        <v>-4581.5072982577467</v>
      </c>
      <c r="R147" s="422">
        <f t="shared" si="51"/>
        <v>-4807.3025832265339</v>
      </c>
      <c r="S147" s="422">
        <f t="shared" si="51"/>
        <v>-5032.4617494465665</v>
      </c>
      <c r="T147" s="422">
        <f t="shared" si="51"/>
        <v>-5256.8812817146381</v>
      </c>
      <c r="U147" s="422">
        <f t="shared" si="51"/>
        <v>-5480.4534801446953</v>
      </c>
      <c r="V147" s="422">
        <f t="shared" si="51"/>
        <v>-5703.0663244936459</v>
      </c>
      <c r="W147" s="422">
        <f t="shared" si="51"/>
        <v>-5924.6033344641883</v>
      </c>
      <c r="X147" s="422">
        <f t="shared" si="51"/>
        <v>-6144.9434258703186</v>
      </c>
      <c r="Y147" s="422">
        <f t="shared" si="51"/>
        <v>-6363.9607625483468</v>
      </c>
      <c r="Z147" s="422">
        <f t="shared" si="51"/>
        <v>-6581.5246038926934</v>
      </c>
      <c r="AA147" s="422">
        <f t="shared" si="51"/>
        <v>-6797.4991478926158</v>
      </c>
      <c r="AB147" s="422">
        <f t="shared" si="51"/>
        <v>-7011.7433695425279</v>
      </c>
      <c r="AC147" s="422">
        <f t="shared" si="51"/>
        <v>-7224.110854494762</v>
      </c>
    </row>
    <row r="148" spans="1:29" s="53" customFormat="1" ht="15.75">
      <c r="A148" s="64"/>
      <c r="B148" s="64"/>
      <c r="C148" s="403" t="s">
        <v>578</v>
      </c>
      <c r="D148" s="416">
        <f t="shared" si="50"/>
        <v>702.86916444780513</v>
      </c>
      <c r="E148" s="25"/>
      <c r="F148" s="422">
        <f>F55</f>
        <v>0</v>
      </c>
      <c r="G148" s="422">
        <f t="shared" ref="G148:AC148" si="52">G55</f>
        <v>0</v>
      </c>
      <c r="H148" s="422">
        <f t="shared" si="52"/>
        <v>14493.666509206227</v>
      </c>
      <c r="I148" s="422">
        <f t="shared" si="52"/>
        <v>15943.03316012685</v>
      </c>
      <c r="J148" s="422">
        <f t="shared" si="52"/>
        <v>17421.387144065884</v>
      </c>
      <c r="K148" s="422">
        <f t="shared" si="52"/>
        <v>18929.308207683698</v>
      </c>
      <c r="L148" s="422">
        <f t="shared" si="52"/>
        <v>20467.387692573873</v>
      </c>
      <c r="M148" s="422">
        <f t="shared" si="52"/>
        <v>22036.228767161851</v>
      </c>
      <c r="N148" s="422">
        <f t="shared" si="52"/>
        <v>23636.446663241601</v>
      </c>
      <c r="O148" s="422">
        <f t="shared" si="52"/>
        <v>25268.668917242914</v>
      </c>
      <c r="P148" s="422">
        <f t="shared" si="52"/>
        <v>26933.535616324287</v>
      </c>
      <c r="Q148" s="422">
        <f t="shared" si="52"/>
        <v>28631.699649387276</v>
      </c>
      <c r="R148" s="422">
        <f t="shared" si="52"/>
        <v>30363.826963111511</v>
      </c>
      <c r="S148" s="422">
        <f t="shared" si="52"/>
        <v>32130.596823110227</v>
      </c>
      <c r="T148" s="422">
        <f t="shared" si="52"/>
        <v>33932.702080308947</v>
      </c>
      <c r="U148" s="422">
        <f t="shared" si="52"/>
        <v>35770.849442651619</v>
      </c>
      <c r="V148" s="422">
        <f t="shared" si="52"/>
        <v>37645.759752241145</v>
      </c>
      <c r="W148" s="422">
        <f t="shared" si="52"/>
        <v>39558.168268022484</v>
      </c>
      <c r="X148" s="422">
        <f t="shared" si="52"/>
        <v>41508.824954119424</v>
      </c>
      <c r="Y148" s="422">
        <f t="shared" si="52"/>
        <v>43498.494773938321</v>
      </c>
      <c r="Z148" s="422">
        <f t="shared" si="52"/>
        <v>45527.957990153584</v>
      </c>
      <c r="AA148" s="422">
        <f t="shared" si="52"/>
        <v>47598.010470693138</v>
      </c>
      <c r="AB148" s="422">
        <f t="shared" si="52"/>
        <v>49709.464000843524</v>
      </c>
      <c r="AC148" s="422">
        <f t="shared" si="52"/>
        <v>51863.146601596891</v>
      </c>
    </row>
    <row r="149" spans="1:29" s="53" customFormat="1" ht="15.75">
      <c r="A149" s="45"/>
      <c r="B149" s="45"/>
      <c r="C149" s="403" t="s">
        <v>199</v>
      </c>
      <c r="D149" s="416">
        <f t="shared" si="50"/>
        <v>34.153005661494426</v>
      </c>
      <c r="E149" s="25"/>
      <c r="F149" s="422">
        <f>F68</f>
        <v>0</v>
      </c>
      <c r="G149" s="422">
        <f t="shared" ref="G149:AC149" si="53">G68</f>
        <v>0</v>
      </c>
      <c r="H149" s="422">
        <f t="shared" si="53"/>
        <v>696.09044239014759</v>
      </c>
      <c r="I149" s="422">
        <f t="shared" si="53"/>
        <v>766.38630986714566</v>
      </c>
      <c r="J149" s="422">
        <f t="shared" si="53"/>
        <v>838.20446486854325</v>
      </c>
      <c r="K149" s="422">
        <f t="shared" si="53"/>
        <v>911.57729793612054</v>
      </c>
      <c r="L149" s="422">
        <f t="shared" si="53"/>
        <v>986.53789216814641</v>
      </c>
      <c r="M149" s="422">
        <f t="shared" si="53"/>
        <v>1063.1200381646011</v>
      </c>
      <c r="N149" s="422">
        <f t="shared" si="53"/>
        <v>1141.3582492987393</v>
      </c>
      <c r="O149" s="422">
        <f t="shared" si="53"/>
        <v>1221.2877773222206</v>
      </c>
      <c r="P149" s="422">
        <f t="shared" si="53"/>
        <v>1302.9446283112075</v>
      </c>
      <c r="Q149" s="422">
        <f t="shared" si="53"/>
        <v>1386.3655789609686</v>
      </c>
      <c r="R149" s="422">
        <f t="shared" si="53"/>
        <v>1471.5881932367499</v>
      </c>
      <c r="S149" s="422">
        <f t="shared" si="53"/>
        <v>1558.6508393887866</v>
      </c>
      <c r="T149" s="422">
        <f t="shared" si="53"/>
        <v>1647.5927073395594</v>
      </c>
      <c r="U149" s="422">
        <f t="shared" si="53"/>
        <v>1738.4538264515409</v>
      </c>
      <c r="V149" s="422">
        <f t="shared" si="53"/>
        <v>1831.2750836839118</v>
      </c>
      <c r="W149" s="422">
        <f t="shared" si="53"/>
        <v>1926.0982421468627</v>
      </c>
      <c r="X149" s="422">
        <f t="shared" si="53"/>
        <v>2022.9659600623295</v>
      </c>
      <c r="Y149" s="422">
        <f t="shared" si="53"/>
        <v>2121.9218101402189</v>
      </c>
      <c r="Z149" s="422">
        <f t="shared" si="53"/>
        <v>2223.0102993793284</v>
      </c>
      <c r="AA149" s="422">
        <f t="shared" si="53"/>
        <v>2326.276889302465</v>
      </c>
      <c r="AB149" s="422">
        <f t="shared" si="53"/>
        <v>2431.7680166353825</v>
      </c>
      <c r="AC149" s="422">
        <f t="shared" si="53"/>
        <v>2539.5311144394482</v>
      </c>
    </row>
    <row r="150" spans="1:29" ht="15.75">
      <c r="A150" s="25"/>
      <c r="B150" s="25"/>
      <c r="C150" s="403" t="s">
        <v>200</v>
      </c>
      <c r="D150" s="416">
        <f t="shared" si="50"/>
        <v>108.8407808994039</v>
      </c>
      <c r="F150" s="422">
        <f>F74</f>
        <v>0</v>
      </c>
      <c r="G150" s="422">
        <f t="shared" ref="G150:AC150" si="54">G74</f>
        <v>0</v>
      </c>
      <c r="H150" s="422">
        <f t="shared" si="54"/>
        <v>2244.375</v>
      </c>
      <c r="I150" s="422">
        <f t="shared" si="54"/>
        <v>2468.8125</v>
      </c>
      <c r="J150" s="422">
        <f t="shared" si="54"/>
        <v>2697.7387499999995</v>
      </c>
      <c r="K150" s="422">
        <f t="shared" si="54"/>
        <v>2931.2435249999999</v>
      </c>
      <c r="L150" s="422">
        <f t="shared" si="54"/>
        <v>3169.4183954999999</v>
      </c>
      <c r="M150" s="422">
        <f t="shared" si="54"/>
        <v>3412.3567634100004</v>
      </c>
      <c r="N150" s="422">
        <f t="shared" si="54"/>
        <v>3660.1538986782029</v>
      </c>
      <c r="O150" s="422">
        <f t="shared" si="54"/>
        <v>3912.9069766517641</v>
      </c>
      <c r="P150" s="422">
        <f t="shared" si="54"/>
        <v>4170.7151161848024</v>
      </c>
      <c r="Q150" s="422">
        <f t="shared" si="54"/>
        <v>4433.6794185084982</v>
      </c>
      <c r="R150" s="422">
        <f t="shared" si="54"/>
        <v>4701.9030068786678</v>
      </c>
      <c r="S150" s="422">
        <f t="shared" si="54"/>
        <v>4975.491067016239</v>
      </c>
      <c r="T150" s="422">
        <f t="shared" si="54"/>
        <v>5254.5508883565662</v>
      </c>
      <c r="U150" s="422">
        <f t="shared" si="54"/>
        <v>5539.1919061236977</v>
      </c>
      <c r="V150" s="422">
        <f t="shared" si="54"/>
        <v>5829.5257442461707</v>
      </c>
      <c r="W150" s="422">
        <f t="shared" si="54"/>
        <v>6125.666259131096</v>
      </c>
      <c r="X150" s="422">
        <f t="shared" si="54"/>
        <v>6427.7295843137163</v>
      </c>
      <c r="Y150" s="422">
        <f t="shared" si="54"/>
        <v>6735.834175999993</v>
      </c>
      <c r="Z150" s="422">
        <f t="shared" si="54"/>
        <v>7050.1008595199928</v>
      </c>
      <c r="AA150" s="422">
        <f t="shared" si="54"/>
        <v>7370.65287671039</v>
      </c>
      <c r="AB150" s="422">
        <f t="shared" si="54"/>
        <v>7697.6159342446008</v>
      </c>
      <c r="AC150" s="422">
        <f t="shared" si="54"/>
        <v>8031.1182529294929</v>
      </c>
    </row>
    <row r="151" spans="1:29" ht="15.75">
      <c r="A151" s="25"/>
      <c r="B151" s="25"/>
      <c r="C151" s="403" t="s">
        <v>201</v>
      </c>
      <c r="D151" s="416">
        <f t="shared" si="50"/>
        <v>488.43260963410631</v>
      </c>
      <c r="F151" s="422">
        <f>F94+F77</f>
        <v>0</v>
      </c>
      <c r="G151" s="422">
        <f t="shared" ref="G151:AC151" si="55">G94+G77</f>
        <v>0</v>
      </c>
      <c r="H151" s="422">
        <f t="shared" si="55"/>
        <v>14431.046661548542</v>
      </c>
      <c r="I151" s="422">
        <f t="shared" si="55"/>
        <v>15156.581154533542</v>
      </c>
      <c r="J151" s="422">
        <f t="shared" si="55"/>
        <v>15784.996512553109</v>
      </c>
      <c r="K151" s="422">
        <f t="shared" si="55"/>
        <v>16314.389276606111</v>
      </c>
      <c r="L151" s="422">
        <f t="shared" si="55"/>
        <v>16742.17077998686</v>
      </c>
      <c r="M151" s="422">
        <f t="shared" si="55"/>
        <v>17066.139319366797</v>
      </c>
      <c r="N151" s="422">
        <f t="shared" si="55"/>
        <v>17478.540725310737</v>
      </c>
      <c r="O151" s="422">
        <f t="shared" si="55"/>
        <v>17800.70852243359</v>
      </c>
      <c r="P151" s="422">
        <f t="shared" si="55"/>
        <v>18801.229104165413</v>
      </c>
      <c r="Q151" s="422">
        <f t="shared" si="55"/>
        <v>19799.74125736691</v>
      </c>
      <c r="R151" s="422">
        <f t="shared" si="55"/>
        <v>20802.139517369167</v>
      </c>
      <c r="S151" s="422">
        <f t="shared" si="55"/>
        <v>21801.651401685653</v>
      </c>
      <c r="T151" s="422">
        <f t="shared" si="55"/>
        <v>22804.737024941813</v>
      </c>
      <c r="U151" s="422">
        <f t="shared" si="55"/>
        <v>23804.013877053498</v>
      </c>
      <c r="V151" s="422">
        <f t="shared" si="55"/>
        <v>24806.495532860616</v>
      </c>
      <c r="W151" s="422">
        <f t="shared" si="55"/>
        <v>25804.199033388766</v>
      </c>
      <c r="X151" s="422">
        <f t="shared" si="55"/>
        <v>26800.510514951071</v>
      </c>
      <c r="Y151" s="422">
        <f t="shared" si="55"/>
        <v>27799.785884830031</v>
      </c>
      <c r="Z151" s="422">
        <f t="shared" si="55"/>
        <v>29113.483529585879</v>
      </c>
      <c r="AA151" s="422">
        <f t="shared" si="55"/>
        <v>30459.359135459956</v>
      </c>
      <c r="AB151" s="422">
        <f t="shared" si="55"/>
        <v>31828.767529770867</v>
      </c>
      <c r="AC151" s="422">
        <f t="shared" si="55"/>
        <v>33231.923338337445</v>
      </c>
    </row>
    <row r="152" spans="1:29" ht="15.75">
      <c r="A152" s="25"/>
      <c r="B152" s="25"/>
      <c r="C152" s="403" t="s">
        <v>579</v>
      </c>
      <c r="D152" s="416">
        <f t="shared" si="50"/>
        <v>0.92357449594697383</v>
      </c>
      <c r="F152" s="422">
        <f>F99</f>
        <v>0</v>
      </c>
      <c r="G152" s="422">
        <f t="shared" ref="G152:AC152" si="56">G99</f>
        <v>0</v>
      </c>
      <c r="H152" s="422">
        <f t="shared" si="56"/>
        <v>19.044768810110057</v>
      </c>
      <c r="I152" s="422">
        <f t="shared" si="56"/>
        <v>20.94924569112106</v>
      </c>
      <c r="J152" s="422">
        <f t="shared" si="56"/>
        <v>22.891812109752287</v>
      </c>
      <c r="K152" s="422">
        <f t="shared" si="56"/>
        <v>24.873229856756133</v>
      </c>
      <c r="L152" s="422">
        <f t="shared" si="56"/>
        <v>26.894275958700064</v>
      </c>
      <c r="M152" s="422">
        <f t="shared" si="56"/>
        <v>28.955742982682871</v>
      </c>
      <c r="N152" s="422">
        <f t="shared" si="56"/>
        <v>31.058439347145356</v>
      </c>
      <c r="O152" s="422">
        <f t="shared" si="56"/>
        <v>33.203189638897051</v>
      </c>
      <c r="P152" s="422">
        <f t="shared" si="56"/>
        <v>35.390834936483813</v>
      </c>
      <c r="Q152" s="422">
        <f t="shared" si="56"/>
        <v>37.622233140022296</v>
      </c>
      <c r="R152" s="422">
        <f t="shared" si="56"/>
        <v>39.898259307631541</v>
      </c>
      <c r="S152" s="422">
        <f t="shared" si="56"/>
        <v>42.21980599859296</v>
      </c>
      <c r="T152" s="422">
        <f t="shared" si="56"/>
        <v>44.587783623373639</v>
      </c>
      <c r="U152" s="422">
        <f t="shared" si="56"/>
        <v>47.003120800649917</v>
      </c>
      <c r="V152" s="422">
        <f t="shared" si="56"/>
        <v>49.466764721471719</v>
      </c>
      <c r="W152" s="422">
        <f t="shared" si="56"/>
        <v>51.979681520709974</v>
      </c>
      <c r="X152" s="422">
        <f t="shared" si="56"/>
        <v>54.542856655932965</v>
      </c>
      <c r="Y152" s="422">
        <f t="shared" si="56"/>
        <v>57.157295293860443</v>
      </c>
      <c r="Z152" s="422">
        <f t="shared" si="56"/>
        <v>59.824022704546458</v>
      </c>
      <c r="AA152" s="422">
        <f t="shared" si="56"/>
        <v>62.544084663446171</v>
      </c>
      <c r="AB152" s="422">
        <f t="shared" si="56"/>
        <v>65.318547861523925</v>
      </c>
      <c r="AC152" s="422">
        <f t="shared" si="56"/>
        <v>68.148500323563212</v>
      </c>
    </row>
    <row r="153" spans="1:29" ht="15.75">
      <c r="A153" s="25"/>
      <c r="B153" s="25"/>
      <c r="C153" s="403" t="s">
        <v>202</v>
      </c>
      <c r="D153" s="416">
        <f t="shared" si="50"/>
        <v>598.59430788017255</v>
      </c>
      <c r="F153" s="422">
        <f>F118+F120+F122</f>
        <v>0</v>
      </c>
      <c r="G153" s="422">
        <f t="shared" ref="G153:AC153" si="57">G118+G120+G122</f>
        <v>0</v>
      </c>
      <c r="H153" s="422">
        <f t="shared" si="57"/>
        <v>12343.444145170777</v>
      </c>
      <c r="I153" s="422">
        <f t="shared" si="57"/>
        <v>13577.788559687853</v>
      </c>
      <c r="J153" s="422">
        <f t="shared" si="57"/>
        <v>14836.819862495267</v>
      </c>
      <c r="K153" s="422">
        <f t="shared" si="57"/>
        <v>16121.031791358841</v>
      </c>
      <c r="L153" s="422">
        <f t="shared" si="57"/>
        <v>17430.927958799679</v>
      </c>
      <c r="M153" s="422">
        <f t="shared" si="57"/>
        <v>18767.022049589337</v>
      </c>
      <c r="N153" s="422">
        <f t="shared" si="57"/>
        <v>20129.838022194799</v>
      </c>
      <c r="O153" s="422">
        <f t="shared" si="57"/>
        <v>21519.910314252345</v>
      </c>
      <c r="P153" s="422">
        <f t="shared" si="57"/>
        <v>22937.784052151066</v>
      </c>
      <c r="Q153" s="422">
        <f t="shared" si="57"/>
        <v>24384.015264807749</v>
      </c>
      <c r="R153" s="422">
        <f t="shared" si="57"/>
        <v>25859.171101717569</v>
      </c>
      <c r="S153" s="422">
        <f t="shared" si="57"/>
        <v>27363.830055365564</v>
      </c>
      <c r="T153" s="422">
        <f t="shared" si="57"/>
        <v>28898.582188086551</v>
      </c>
      <c r="U153" s="422">
        <f t="shared" si="57"/>
        <v>30464.029363461948</v>
      </c>
      <c r="V153" s="422">
        <f t="shared" si="57"/>
        <v>32060.78548234484</v>
      </c>
      <c r="W153" s="422">
        <f t="shared" si="57"/>
        <v>33689.47672360541</v>
      </c>
      <c r="X153" s="422">
        <f t="shared" si="57"/>
        <v>35350.741789691179</v>
      </c>
      <c r="Y153" s="422">
        <f t="shared" si="57"/>
        <v>37045.232157098668</v>
      </c>
      <c r="Z153" s="422">
        <f t="shared" si="57"/>
        <v>38773.61233185431</v>
      </c>
      <c r="AA153" s="422">
        <f t="shared" si="57"/>
        <v>40536.560110105034</v>
      </c>
      <c r="AB153" s="422">
        <f t="shared" si="57"/>
        <v>42334.766843920821</v>
      </c>
      <c r="AC153" s="422">
        <f t="shared" si="57"/>
        <v>44168.937712412902</v>
      </c>
    </row>
    <row r="154" spans="1:29" ht="15.75">
      <c r="A154" s="25"/>
      <c r="B154" s="25"/>
      <c r="C154" s="402"/>
      <c r="D154" s="417"/>
      <c r="F154" s="413">
        <f>SUM(F147:F153)</f>
        <v>0</v>
      </c>
      <c r="G154" s="413">
        <f t="shared" ref="G154:AC154" si="58">SUM(G147:G153)</f>
        <v>0</v>
      </c>
      <c r="H154" s="413">
        <f t="shared" si="58"/>
        <v>41691.771319538959</v>
      </c>
      <c r="I154" s="413">
        <f t="shared" si="58"/>
        <v>45170.164384604352</v>
      </c>
      <c r="J154" s="413">
        <f t="shared" si="58"/>
        <v>48611.033922965435</v>
      </c>
      <c r="K154" s="413">
        <f t="shared" si="58"/>
        <v>52013.744234646714</v>
      </c>
      <c r="L154" s="413">
        <f t="shared" si="58"/>
        <v>55377.001512229079</v>
      </c>
      <c r="M154" s="413">
        <f t="shared" si="58"/>
        <v>58699.926596606398</v>
      </c>
      <c r="N154" s="413">
        <f t="shared" si="58"/>
        <v>62176.116144940112</v>
      </c>
      <c r="O154" s="413">
        <f t="shared" si="58"/>
        <v>65628.283401300287</v>
      </c>
      <c r="P154" s="413">
        <f t="shared" si="58"/>
        <v>69826.42399525056</v>
      </c>
      <c r="Q154" s="413">
        <f t="shared" si="58"/>
        <v>74091.616103913679</v>
      </c>
      <c r="R154" s="413">
        <f t="shared" si="58"/>
        <v>78431.224458394747</v>
      </c>
      <c r="S154" s="413">
        <f t="shared" si="58"/>
        <v>82839.978243118487</v>
      </c>
      <c r="T154" s="413">
        <f t="shared" si="58"/>
        <v>87325.871390942164</v>
      </c>
      <c r="U154" s="413">
        <f t="shared" si="58"/>
        <v>91883.08805639825</v>
      </c>
      <c r="V154" s="413">
        <f t="shared" si="58"/>
        <v>96520.242035604519</v>
      </c>
      <c r="W154" s="413">
        <f t="shared" si="58"/>
        <v>101230.98487335115</v>
      </c>
      <c r="X154" s="413">
        <f t="shared" si="58"/>
        <v>106020.37223392332</v>
      </c>
      <c r="Y154" s="413">
        <f t="shared" si="58"/>
        <v>110894.46533475275</v>
      </c>
      <c r="Z154" s="413">
        <f t="shared" si="58"/>
        <v>116166.46442930495</v>
      </c>
      <c r="AA154" s="413">
        <f t="shared" si="58"/>
        <v>121555.90441904179</v>
      </c>
      <c r="AB154" s="413">
        <f t="shared" si="58"/>
        <v>127055.95750373419</v>
      </c>
      <c r="AC154" s="413">
        <f t="shared" si="58"/>
        <v>132678.69466554499</v>
      </c>
    </row>
    <row r="155" spans="1:29" ht="15.75">
      <c r="A155" s="25"/>
      <c r="B155" s="25"/>
      <c r="C155" s="401" t="s">
        <v>182</v>
      </c>
      <c r="D155" s="199"/>
      <c r="G155" s="25"/>
      <c r="H155" s="25"/>
      <c r="I155" s="25"/>
      <c r="J155" s="25"/>
      <c r="K155" s="25"/>
      <c r="L155" s="25"/>
      <c r="M155" s="25"/>
      <c r="N155" s="25"/>
      <c r="O155" s="25"/>
      <c r="P155" s="25"/>
      <c r="Q155" s="25"/>
      <c r="R155" s="25"/>
      <c r="S155" s="25"/>
      <c r="T155" s="25"/>
      <c r="U155" s="25"/>
      <c r="V155" s="25"/>
      <c r="W155" s="25"/>
      <c r="X155" s="25"/>
      <c r="Y155" s="25"/>
      <c r="Z155" s="25"/>
      <c r="AA155" s="25"/>
      <c r="AB155" s="25"/>
      <c r="AC155" s="25"/>
    </row>
    <row r="156" spans="1:29" ht="15.75">
      <c r="A156" s="25"/>
      <c r="B156" s="25"/>
      <c r="C156" s="401" t="s">
        <v>183</v>
      </c>
      <c r="D156" s="419">
        <f>IRR(F156:AC156)</f>
        <v>0.15938369787334747</v>
      </c>
      <c r="F156" s="415">
        <f>F145+F154</f>
        <v>0</v>
      </c>
      <c r="G156" s="415">
        <f t="shared" ref="G156:AC156" si="59">G145+G154</f>
        <v>-275620</v>
      </c>
      <c r="H156" s="415">
        <f t="shared" si="59"/>
        <v>22724.679748307091</v>
      </c>
      <c r="I156" s="415">
        <f t="shared" si="59"/>
        <v>33534.363656249297</v>
      </c>
      <c r="J156" s="415">
        <f t="shared" si="59"/>
        <v>36313.549854344732</v>
      </c>
      <c r="K156" s="415">
        <f t="shared" si="59"/>
        <v>39041.343158955046</v>
      </c>
      <c r="L156" s="415">
        <f t="shared" si="59"/>
        <v>41716.18508932503</v>
      </c>
      <c r="M156" s="415">
        <f t="shared" si="59"/>
        <v>44336.926519545712</v>
      </c>
      <c r="N156" s="415">
        <f t="shared" si="59"/>
        <v>47096.888740639661</v>
      </c>
      <c r="O156" s="415">
        <f t="shared" si="59"/>
        <v>49818.504123215287</v>
      </c>
      <c r="P156" s="415">
        <f t="shared" si="59"/>
        <v>53271.4818059053</v>
      </c>
      <c r="Q156" s="415">
        <f t="shared" si="59"/>
        <v>56776.607745082962</v>
      </c>
      <c r="R156" s="415">
        <f t="shared" si="59"/>
        <v>60340.948606688871</v>
      </c>
      <c r="S156" s="415">
        <f t="shared" si="59"/>
        <v>63958.929548679953</v>
      </c>
      <c r="T156" s="415">
        <f t="shared" si="59"/>
        <v>67638.23439691629</v>
      </c>
      <c r="U156" s="415">
        <f t="shared" si="59"/>
        <v>71372.730996793311</v>
      </c>
      <c r="V156" s="415">
        <f t="shared" si="59"/>
        <v>75170.710509108947</v>
      </c>
      <c r="W156" s="415">
        <f t="shared" si="59"/>
        <v>79025.495390627097</v>
      </c>
      <c r="X156" s="415">
        <f t="shared" si="59"/>
        <v>82941.805635846249</v>
      </c>
      <c r="Y156" s="415">
        <f t="shared" si="59"/>
        <v>86925.360079015576</v>
      </c>
      <c r="Z156" s="415">
        <f t="shared" si="59"/>
        <v>91289.009742754497</v>
      </c>
      <c r="AA156" s="415">
        <f t="shared" si="59"/>
        <v>95751.933313061774</v>
      </c>
      <c r="AB156" s="415">
        <f t="shared" si="59"/>
        <v>100306.93964993602</v>
      </c>
      <c r="AC156" s="415">
        <f t="shared" si="59"/>
        <v>104965.72912897231</v>
      </c>
    </row>
    <row r="157" spans="1:29" ht="15.75">
      <c r="A157" s="25"/>
      <c r="B157" s="25"/>
      <c r="C157" s="401" t="s">
        <v>184</v>
      </c>
      <c r="D157" s="420"/>
      <c r="F157" s="407">
        <f>F156-F128</f>
        <v>0</v>
      </c>
      <c r="G157" s="407">
        <f t="shared" ref="G157:AC157" si="60">G156-G128</f>
        <v>0</v>
      </c>
      <c r="H157" s="407">
        <f t="shared" si="60"/>
        <v>0</v>
      </c>
      <c r="I157" s="407">
        <f t="shared" si="60"/>
        <v>0</v>
      </c>
      <c r="J157" s="407">
        <f t="shared" si="60"/>
        <v>0</v>
      </c>
      <c r="K157" s="407">
        <f t="shared" si="60"/>
        <v>0</v>
      </c>
      <c r="L157" s="407">
        <f t="shared" si="60"/>
        <v>0</v>
      </c>
      <c r="M157" s="407">
        <f t="shared" si="60"/>
        <v>0</v>
      </c>
      <c r="N157" s="407">
        <f t="shared" si="60"/>
        <v>0</v>
      </c>
      <c r="O157" s="407">
        <f t="shared" si="60"/>
        <v>0</v>
      </c>
      <c r="P157" s="407">
        <f t="shared" si="60"/>
        <v>0</v>
      </c>
      <c r="Q157" s="407">
        <f t="shared" si="60"/>
        <v>0</v>
      </c>
      <c r="R157" s="407">
        <f t="shared" si="60"/>
        <v>0</v>
      </c>
      <c r="S157" s="407">
        <f t="shared" si="60"/>
        <v>0</v>
      </c>
      <c r="T157" s="407">
        <f t="shared" si="60"/>
        <v>0</v>
      </c>
      <c r="U157" s="407">
        <f t="shared" si="60"/>
        <v>0</v>
      </c>
      <c r="V157" s="407">
        <f t="shared" si="60"/>
        <v>0</v>
      </c>
      <c r="W157" s="407">
        <f t="shared" si="60"/>
        <v>0</v>
      </c>
      <c r="X157" s="407">
        <f t="shared" si="60"/>
        <v>0</v>
      </c>
      <c r="Y157" s="407">
        <f t="shared" si="60"/>
        <v>0</v>
      </c>
      <c r="Z157" s="407">
        <f t="shared" si="60"/>
        <v>0</v>
      </c>
      <c r="AA157" s="407">
        <f t="shared" si="60"/>
        <v>0</v>
      </c>
      <c r="AB157" s="407">
        <f t="shared" si="60"/>
        <v>0</v>
      </c>
      <c r="AC157" s="407">
        <f t="shared" si="60"/>
        <v>0</v>
      </c>
    </row>
    <row r="158" spans="1:29">
      <c r="A158" s="25"/>
      <c r="B158" s="25"/>
      <c r="C158" s="50"/>
      <c r="D158" s="40"/>
      <c r="F158" s="39"/>
    </row>
    <row r="159" spans="1:29">
      <c r="A159" s="25"/>
      <c r="B159" s="25"/>
      <c r="C159" s="50"/>
      <c r="D159" s="25"/>
      <c r="F159" s="39"/>
    </row>
    <row r="160" spans="1:29" ht="14.25">
      <c r="A160" s="25"/>
      <c r="B160" s="25"/>
      <c r="C160" s="412" t="s">
        <v>580</v>
      </c>
      <c r="D160" s="39"/>
      <c r="E160" s="39"/>
      <c r="F160" s="39"/>
    </row>
    <row r="161" spans="1:29" ht="15.75">
      <c r="A161" s="25"/>
      <c r="B161" s="25"/>
      <c r="C161" s="401" t="s">
        <v>1</v>
      </c>
      <c r="D161" s="418">
        <f>SUM(D162:D165)</f>
        <v>535.47519183449936</v>
      </c>
      <c r="E161" s="39"/>
      <c r="F161" s="422"/>
      <c r="G161" s="422"/>
      <c r="H161" s="422"/>
      <c r="I161" s="422"/>
      <c r="J161" s="422"/>
      <c r="K161" s="422"/>
      <c r="L161" s="422"/>
      <c r="M161" s="422"/>
      <c r="N161" s="422"/>
      <c r="O161" s="422"/>
      <c r="P161" s="422"/>
      <c r="Q161" s="422"/>
      <c r="R161" s="422"/>
      <c r="S161" s="422"/>
      <c r="T161" s="422"/>
      <c r="U161" s="422"/>
      <c r="V161" s="422"/>
      <c r="W161" s="422"/>
      <c r="X161" s="422"/>
      <c r="Y161" s="422"/>
      <c r="Z161" s="422"/>
      <c r="AA161" s="422"/>
      <c r="AB161" s="422"/>
      <c r="AC161" s="422"/>
    </row>
    <row r="162" spans="1:29" ht="15.75">
      <c r="A162" s="25"/>
      <c r="B162" s="25"/>
      <c r="C162" s="403" t="s">
        <v>196</v>
      </c>
      <c r="D162" s="416">
        <f>-SUM(F162:AC162)/1000</f>
        <v>267.10111491708358</v>
      </c>
      <c r="E162" s="39"/>
      <c r="F162" s="422">
        <f t="shared" ref="F162:AC162" si="61">F141*F$129</f>
        <v>0</v>
      </c>
      <c r="G162" s="422">
        <f t="shared" si="61"/>
        <v>-259798.28447544537</v>
      </c>
      <c r="H162" s="422">
        <f t="shared" si="61"/>
        <v>-7302.8304416382125</v>
      </c>
      <c r="I162" s="422">
        <f t="shared" si="61"/>
        <v>0</v>
      </c>
      <c r="J162" s="422">
        <f t="shared" si="61"/>
        <v>0</v>
      </c>
      <c r="K162" s="422">
        <f t="shared" si="61"/>
        <v>0</v>
      </c>
      <c r="L162" s="422">
        <f t="shared" si="61"/>
        <v>0</v>
      </c>
      <c r="M162" s="422">
        <f t="shared" si="61"/>
        <v>0</v>
      </c>
      <c r="N162" s="422">
        <f t="shared" si="61"/>
        <v>0</v>
      </c>
      <c r="O162" s="422">
        <f t="shared" si="61"/>
        <v>0</v>
      </c>
      <c r="P162" s="422">
        <f t="shared" si="61"/>
        <v>0</v>
      </c>
      <c r="Q162" s="422">
        <f t="shared" si="61"/>
        <v>0</v>
      </c>
      <c r="R162" s="422">
        <f t="shared" si="61"/>
        <v>0</v>
      </c>
      <c r="S162" s="422">
        <f t="shared" si="61"/>
        <v>0</v>
      </c>
      <c r="T162" s="422">
        <f t="shared" si="61"/>
        <v>0</v>
      </c>
      <c r="U162" s="422">
        <f t="shared" si="61"/>
        <v>0</v>
      </c>
      <c r="V162" s="422">
        <f t="shared" si="61"/>
        <v>0</v>
      </c>
      <c r="W162" s="422">
        <f t="shared" si="61"/>
        <v>0</v>
      </c>
      <c r="X162" s="422">
        <f t="shared" si="61"/>
        <v>0</v>
      </c>
      <c r="Y162" s="422">
        <f t="shared" si="61"/>
        <v>0</v>
      </c>
      <c r="Z162" s="422">
        <f t="shared" si="61"/>
        <v>0</v>
      </c>
      <c r="AA162" s="422">
        <f t="shared" si="61"/>
        <v>0</v>
      </c>
      <c r="AB162" s="422">
        <f t="shared" si="61"/>
        <v>0</v>
      </c>
      <c r="AC162" s="422">
        <f t="shared" si="61"/>
        <v>0</v>
      </c>
    </row>
    <row r="163" spans="1:29" ht="15.75">
      <c r="A163" s="25"/>
      <c r="B163" s="25"/>
      <c r="C163" s="403" t="s">
        <v>197</v>
      </c>
      <c r="D163" s="416">
        <f>-SUM(F163:AC163)/1000</f>
        <v>67.59932591913676</v>
      </c>
      <c r="F163" s="422">
        <f t="shared" ref="F163:AC163" si="62">F142*F$129</f>
        <v>0</v>
      </c>
      <c r="G163" s="422">
        <f t="shared" si="62"/>
        <v>0</v>
      </c>
      <c r="H163" s="422">
        <f t="shared" si="62"/>
        <v>-4118.1374670892174</v>
      </c>
      <c r="I163" s="422">
        <f t="shared" si="62"/>
        <v>-3998.1917156205996</v>
      </c>
      <c r="J163" s="422">
        <f t="shared" si="62"/>
        <v>-3881.7395297287376</v>
      </c>
      <c r="K163" s="422">
        <f t="shared" si="62"/>
        <v>-3768.6791550764442</v>
      </c>
      <c r="L163" s="422">
        <f t="shared" si="62"/>
        <v>-3658.9118010450911</v>
      </c>
      <c r="M163" s="422">
        <f t="shared" si="62"/>
        <v>-3552.3415544127097</v>
      </c>
      <c r="N163" s="422">
        <f t="shared" si="62"/>
        <v>-3448.8752955463201</v>
      </c>
      <c r="O163" s="422">
        <f t="shared" si="62"/>
        <v>-3348.4226170352622</v>
      </c>
      <c r="P163" s="422">
        <f t="shared" si="62"/>
        <v>-3250.8957446944296</v>
      </c>
      <c r="Q163" s="422">
        <f t="shared" si="62"/>
        <v>-3156.2094608683783</v>
      </c>
      <c r="R163" s="422">
        <f t="shared" si="62"/>
        <v>-3064.2810299692992</v>
      </c>
      <c r="S163" s="422">
        <f t="shared" si="62"/>
        <v>-2975.0301261837853</v>
      </c>
      <c r="T163" s="422">
        <f t="shared" si="62"/>
        <v>-2888.3787632852286</v>
      </c>
      <c r="U163" s="422">
        <f t="shared" si="62"/>
        <v>-2804.2512264905131</v>
      </c>
      <c r="V163" s="422">
        <f t="shared" si="62"/>
        <v>-2722.5740063014691</v>
      </c>
      <c r="W163" s="422">
        <f t="shared" si="62"/>
        <v>-2643.2757342732707</v>
      </c>
      <c r="X163" s="422">
        <f t="shared" si="62"/>
        <v>-2566.2871206536611</v>
      </c>
      <c r="Y163" s="422">
        <f t="shared" si="62"/>
        <v>-2491.5408938385058</v>
      </c>
      <c r="Z163" s="422">
        <f t="shared" si="62"/>
        <v>-2418.9717415907826</v>
      </c>
      <c r="AA163" s="422">
        <f t="shared" si="62"/>
        <v>-2348.5162539716334</v>
      </c>
      <c r="AB163" s="422">
        <f t="shared" si="62"/>
        <v>-2280.1128679336243</v>
      </c>
      <c r="AC163" s="422">
        <f t="shared" si="62"/>
        <v>-2213.7018135277908</v>
      </c>
    </row>
    <row r="164" spans="1:29" ht="15.75">
      <c r="A164" s="25"/>
      <c r="B164" s="25"/>
      <c r="C164" s="404" t="s">
        <v>546</v>
      </c>
      <c r="D164" s="416">
        <f>-SUM(F164:AC164)/1000</f>
        <v>0</v>
      </c>
      <c r="F164" s="422">
        <f t="shared" ref="F164:AC164" si="63">F143*F$129</f>
        <v>0</v>
      </c>
      <c r="G164" s="422">
        <f t="shared" si="63"/>
        <v>0</v>
      </c>
      <c r="H164" s="422">
        <f t="shared" si="63"/>
        <v>0</v>
      </c>
      <c r="I164" s="422">
        <f t="shared" si="63"/>
        <v>0</v>
      </c>
      <c r="J164" s="422">
        <f t="shared" si="63"/>
        <v>0</v>
      </c>
      <c r="K164" s="422">
        <f t="shared" si="63"/>
        <v>0</v>
      </c>
      <c r="L164" s="422">
        <f t="shared" si="63"/>
        <v>0</v>
      </c>
      <c r="M164" s="422">
        <f t="shared" si="63"/>
        <v>0</v>
      </c>
      <c r="N164" s="422">
        <f t="shared" si="63"/>
        <v>0</v>
      </c>
      <c r="O164" s="422">
        <f t="shared" si="63"/>
        <v>0</v>
      </c>
      <c r="P164" s="422">
        <f t="shared" si="63"/>
        <v>0</v>
      </c>
      <c r="Q164" s="422">
        <f t="shared" si="63"/>
        <v>0</v>
      </c>
      <c r="R164" s="422">
        <f t="shared" si="63"/>
        <v>0</v>
      </c>
      <c r="S164" s="422">
        <f t="shared" si="63"/>
        <v>0</v>
      </c>
      <c r="T164" s="422">
        <f t="shared" si="63"/>
        <v>0</v>
      </c>
      <c r="U164" s="422">
        <f t="shared" si="63"/>
        <v>0</v>
      </c>
      <c r="V164" s="422">
        <f t="shared" si="63"/>
        <v>0</v>
      </c>
      <c r="W164" s="422">
        <f t="shared" si="63"/>
        <v>0</v>
      </c>
      <c r="X164" s="422">
        <f t="shared" si="63"/>
        <v>0</v>
      </c>
      <c r="Y164" s="422">
        <f t="shared" si="63"/>
        <v>0</v>
      </c>
      <c r="Z164" s="422">
        <f t="shared" si="63"/>
        <v>0</v>
      </c>
      <c r="AA164" s="422">
        <f t="shared" si="63"/>
        <v>0</v>
      </c>
      <c r="AB164" s="422">
        <f t="shared" si="63"/>
        <v>0</v>
      </c>
      <c r="AC164" s="422">
        <f t="shared" si="63"/>
        <v>0</v>
      </c>
    </row>
    <row r="165" spans="1:29" ht="15.75">
      <c r="A165" s="25"/>
      <c r="B165" s="25"/>
      <c r="C165" s="403" t="s">
        <v>198</v>
      </c>
      <c r="D165" s="416">
        <f>-SUM(F165:AC165)/1000</f>
        <v>200.77475099827907</v>
      </c>
      <c r="F165" s="422">
        <f t="shared" ref="F165:AC165" si="64">F144*F$129</f>
        <v>0</v>
      </c>
      <c r="G165" s="422">
        <f t="shared" si="64"/>
        <v>0</v>
      </c>
      <c r="H165" s="422">
        <f t="shared" si="64"/>
        <v>-5936.6077448730257</v>
      </c>
      <c r="I165" s="422">
        <f t="shared" si="64"/>
        <v>-6340.066523650803</v>
      </c>
      <c r="J165" s="422">
        <f t="shared" si="64"/>
        <v>-6726.1782536877899</v>
      </c>
      <c r="K165" s="422">
        <f t="shared" si="64"/>
        <v>-7095.5025172014284</v>
      </c>
      <c r="L165" s="422">
        <f t="shared" si="64"/>
        <v>-7448.5820704380667</v>
      </c>
      <c r="M165" s="422">
        <f t="shared" si="64"/>
        <v>-7785.9433388707603</v>
      </c>
      <c r="N165" s="422">
        <f t="shared" si="64"/>
        <v>-8108.0968979241006</v>
      </c>
      <c r="O165" s="422">
        <f t="shared" si="64"/>
        <v>-8415.5379396481258</v>
      </c>
      <c r="P165" s="422">
        <f t="shared" si="64"/>
        <v>-8708.746725751078</v>
      </c>
      <c r="Q165" s="422">
        <f t="shared" si="64"/>
        <v>-8988.1890273886329</v>
      </c>
      <c r="R165" s="422">
        <f t="shared" si="64"/>
        <v>-9254.3165520960392</v>
      </c>
      <c r="S165" s="422">
        <f t="shared" si="64"/>
        <v>-9507.5673582379222</v>
      </c>
      <c r="T165" s="422">
        <f t="shared" si="64"/>
        <v>-9748.3662573398706</v>
      </c>
      <c r="U165" s="422">
        <f t="shared" si="64"/>
        <v>-9977.125204655149</v>
      </c>
      <c r="V165" s="422">
        <f t="shared" si="64"/>
        <v>-10194.243678309769</v>
      </c>
      <c r="W165" s="422">
        <f t="shared" si="64"/>
        <v>-10400.109047358903</v>
      </c>
      <c r="X165" s="422">
        <f t="shared" si="64"/>
        <v>-10595.096929078109</v>
      </c>
      <c r="Y165" s="422">
        <f t="shared" si="64"/>
        <v>-10779.571535803407</v>
      </c>
      <c r="Z165" s="422">
        <f t="shared" si="64"/>
        <v>-10953.886011624936</v>
      </c>
      <c r="AA165" s="422">
        <f t="shared" si="64"/>
        <v>-11118.382759230242</v>
      </c>
      <c r="AB165" s="422">
        <f t="shared" si="64"/>
        <v>-11273.393757184478</v>
      </c>
      <c r="AC165" s="422">
        <f t="shared" si="64"/>
        <v>-11419.240867926457</v>
      </c>
    </row>
    <row r="166" spans="1:29" ht="15.75">
      <c r="A166" s="25"/>
      <c r="B166" s="25"/>
      <c r="C166" s="402"/>
      <c r="D166" s="417"/>
      <c r="F166" s="414">
        <f>SUM(F162:F165)</f>
        <v>0</v>
      </c>
      <c r="G166" s="414">
        <f t="shared" ref="G166:AC166" si="65">SUM(G162:G165)</f>
        <v>-259798.28447544537</v>
      </c>
      <c r="H166" s="414">
        <f t="shared" si="65"/>
        <v>-17357.575653600456</v>
      </c>
      <c r="I166" s="414">
        <f t="shared" si="65"/>
        <v>-10338.258239271403</v>
      </c>
      <c r="J166" s="414">
        <f t="shared" si="65"/>
        <v>-10607.917783416528</v>
      </c>
      <c r="K166" s="414">
        <f t="shared" si="65"/>
        <v>-10864.181672277873</v>
      </c>
      <c r="L166" s="414">
        <f t="shared" si="65"/>
        <v>-11107.493871483159</v>
      </c>
      <c r="M166" s="414">
        <f t="shared" si="65"/>
        <v>-11338.28489328347</v>
      </c>
      <c r="N166" s="414">
        <f t="shared" si="65"/>
        <v>-11556.972193470421</v>
      </c>
      <c r="O166" s="414">
        <f t="shared" si="65"/>
        <v>-11763.960556683389</v>
      </c>
      <c r="P166" s="414">
        <f t="shared" si="65"/>
        <v>-11959.642470445508</v>
      </c>
      <c r="Q166" s="414">
        <f t="shared" si="65"/>
        <v>-12144.398488257011</v>
      </c>
      <c r="R166" s="414">
        <f t="shared" si="65"/>
        <v>-12318.597582065338</v>
      </c>
      <c r="S166" s="414">
        <f t="shared" si="65"/>
        <v>-12482.597484421707</v>
      </c>
      <c r="T166" s="414">
        <f t="shared" si="65"/>
        <v>-12636.7450206251</v>
      </c>
      <c r="U166" s="414">
        <f t="shared" si="65"/>
        <v>-12781.376431145662</v>
      </c>
      <c r="V166" s="414">
        <f t="shared" si="65"/>
        <v>-12916.817684611238</v>
      </c>
      <c r="W166" s="414">
        <f t="shared" si="65"/>
        <v>-13043.384781632174</v>
      </c>
      <c r="X166" s="414">
        <f t="shared" si="65"/>
        <v>-13161.384049731769</v>
      </c>
      <c r="Y166" s="414">
        <f t="shared" si="65"/>
        <v>-13271.112429641913</v>
      </c>
      <c r="Z166" s="414">
        <f t="shared" si="65"/>
        <v>-13372.857753215718</v>
      </c>
      <c r="AA166" s="414">
        <f t="shared" si="65"/>
        <v>-13466.899013201875</v>
      </c>
      <c r="AB166" s="414">
        <f t="shared" si="65"/>
        <v>-13553.506625118102</v>
      </c>
      <c r="AC166" s="414">
        <f t="shared" si="65"/>
        <v>-13632.942681454248</v>
      </c>
    </row>
    <row r="167" spans="1:29" ht="15.75">
      <c r="A167" s="25"/>
      <c r="B167" s="25"/>
      <c r="C167" s="401" t="s">
        <v>0</v>
      </c>
      <c r="D167" s="418">
        <f>SUM(D168:D174)</f>
        <v>1170.7782145521596</v>
      </c>
      <c r="F167" s="406"/>
      <c r="G167" s="406"/>
      <c r="H167" s="406"/>
      <c r="I167" s="406"/>
      <c r="J167" s="406"/>
      <c r="K167" s="406"/>
      <c r="L167" s="406"/>
      <c r="M167" s="406"/>
      <c r="N167" s="406"/>
      <c r="O167" s="406"/>
      <c r="P167" s="406"/>
      <c r="Q167" s="406"/>
      <c r="R167" s="406"/>
      <c r="S167" s="406"/>
      <c r="T167" s="406"/>
      <c r="U167" s="406"/>
      <c r="V167" s="406"/>
      <c r="W167" s="406"/>
      <c r="X167" s="406"/>
      <c r="Y167" s="406"/>
      <c r="Z167" s="406"/>
      <c r="AA167" s="406"/>
      <c r="AB167" s="406"/>
      <c r="AC167" s="406"/>
    </row>
    <row r="168" spans="1:29" ht="15.75">
      <c r="A168" s="25"/>
      <c r="B168" s="25"/>
      <c r="C168" s="403" t="s">
        <v>577</v>
      </c>
      <c r="D168" s="416">
        <f t="shared" ref="D168:D174" si="66">SUM(F168:AC168)/1000</f>
        <v>-69.716092298663824</v>
      </c>
      <c r="F168" s="422">
        <f t="shared" ref="F168:AC168" si="67">F147*F$129</f>
        <v>0</v>
      </c>
      <c r="G168" s="422">
        <f t="shared" si="67"/>
        <v>0</v>
      </c>
      <c r="H168" s="422">
        <f t="shared" si="67"/>
        <v>-2320.7042633584078</v>
      </c>
      <c r="I168" s="422">
        <f t="shared" si="67"/>
        <v>-2455.2331538854537</v>
      </c>
      <c r="J168" s="422">
        <f t="shared" si="67"/>
        <v>-2580.0668620431043</v>
      </c>
      <c r="K168" s="422">
        <f t="shared" si="67"/>
        <v>-2695.5930683699689</v>
      </c>
      <c r="L168" s="422">
        <f t="shared" si="67"/>
        <v>-2802.1861262720759</v>
      </c>
      <c r="M168" s="422">
        <f t="shared" si="67"/>
        <v>-2900.207494673773</v>
      </c>
      <c r="N168" s="422">
        <f t="shared" si="67"/>
        <v>-2990.0061569947684</v>
      </c>
      <c r="O168" s="422">
        <f t="shared" si="67"/>
        <v>-3071.9190268789293</v>
      </c>
      <c r="P168" s="422">
        <f t="shared" si="67"/>
        <v>-3146.2713410873253</v>
      </c>
      <c r="Q168" s="422">
        <f t="shared" si="67"/>
        <v>-3213.3770399552495</v>
      </c>
      <c r="R168" s="422">
        <f t="shared" si="67"/>
        <v>-3273.5391358007723</v>
      </c>
      <c r="S168" s="422">
        <f t="shared" si="67"/>
        <v>-3327.050069660243</v>
      </c>
      <c r="T168" s="422">
        <f t="shared" si="67"/>
        <v>-3374.1920567147095</v>
      </c>
      <c r="U168" s="422">
        <f t="shared" si="67"/>
        <v>-3415.2374207599914</v>
      </c>
      <c r="V168" s="422">
        <f t="shared" si="67"/>
        <v>-3450.4489180621463</v>
      </c>
      <c r="W168" s="422">
        <f t="shared" si="67"/>
        <v>-3480.0800509297101</v>
      </c>
      <c r="X168" s="422">
        <f t="shared" si="67"/>
        <v>-3504.3753713236406</v>
      </c>
      <c r="Y168" s="422">
        <f t="shared" si="67"/>
        <v>-3523.5707748161972</v>
      </c>
      <c r="Z168" s="422">
        <f t="shared" si="67"/>
        <v>-3537.8937852001986</v>
      </c>
      <c r="AA168" s="422">
        <f t="shared" si="67"/>
        <v>-3547.5638300409191</v>
      </c>
      <c r="AB168" s="422">
        <f t="shared" si="67"/>
        <v>-3552.7925074538198</v>
      </c>
      <c r="AC168" s="422">
        <f t="shared" si="67"/>
        <v>-3553.7838443824116</v>
      </c>
    </row>
    <row r="169" spans="1:29" ht="15.75">
      <c r="A169" s="25"/>
      <c r="B169" s="25"/>
      <c r="C169" s="403" t="s">
        <v>578</v>
      </c>
      <c r="D169" s="416">
        <f t="shared" si="66"/>
        <v>448.57734047453704</v>
      </c>
      <c r="F169" s="422">
        <f t="shared" ref="F169:AC169" si="68">F148*F$129</f>
        <v>0</v>
      </c>
      <c r="G169" s="422">
        <f t="shared" si="68"/>
        <v>0</v>
      </c>
      <c r="H169" s="422">
        <f t="shared" si="68"/>
        <v>13263.758019346302</v>
      </c>
      <c r="I169" s="422">
        <f t="shared" si="68"/>
        <v>14165.17846726304</v>
      </c>
      <c r="J169" s="422">
        <f t="shared" si="68"/>
        <v>15027.841586628572</v>
      </c>
      <c r="K169" s="422">
        <f t="shared" si="68"/>
        <v>15852.997613847778</v>
      </c>
      <c r="L169" s="422">
        <f t="shared" si="68"/>
        <v>16641.859192205244</v>
      </c>
      <c r="M169" s="422">
        <f t="shared" si="68"/>
        <v>17395.602478251956</v>
      </c>
      <c r="N169" s="422">
        <f t="shared" si="68"/>
        <v>18115.368215856048</v>
      </c>
      <c r="O169" s="422">
        <f t="shared" si="68"/>
        <v>18802.262778860466</v>
      </c>
      <c r="P169" s="422">
        <f t="shared" si="68"/>
        <v>19457.359183263219</v>
      </c>
      <c r="Q169" s="422">
        <f t="shared" si="68"/>
        <v>20081.698069808434</v>
      </c>
      <c r="R169" s="422">
        <f t="shared" si="68"/>
        <v>20676.288657851761</v>
      </c>
      <c r="S169" s="422">
        <f t="shared" si="68"/>
        <v>21242.109671337323</v>
      </c>
      <c r="T169" s="422">
        <f t="shared" si="68"/>
        <v>21780.110237699744</v>
      </c>
      <c r="U169" s="422">
        <f t="shared" si="68"/>
        <v>22291.210760480732</v>
      </c>
      <c r="V169" s="422">
        <f t="shared" si="68"/>
        <v>22776.30376642706</v>
      </c>
      <c r="W169" s="422">
        <f t="shared" si="68"/>
        <v>23236.254727813939</v>
      </c>
      <c r="X169" s="422">
        <f t="shared" si="68"/>
        <v>23671.902860716436</v>
      </c>
      <c r="Y169" s="422">
        <f t="shared" si="68"/>
        <v>24084.061899930635</v>
      </c>
      <c r="Z169" s="422">
        <f t="shared" si="68"/>
        <v>24473.520851225287</v>
      </c>
      <c r="AA169" s="422">
        <f t="shared" si="68"/>
        <v>24841.04472158552</v>
      </c>
      <c r="AB169" s="422">
        <f t="shared" si="68"/>
        <v>25187.375228090354</v>
      </c>
      <c r="AC169" s="422">
        <f t="shared" si="68"/>
        <v>25513.231486047269</v>
      </c>
    </row>
    <row r="170" spans="1:29" ht="15.75">
      <c r="A170" s="25"/>
      <c r="B170" s="25"/>
      <c r="C170" s="403" t="s">
        <v>199</v>
      </c>
      <c r="D170" s="416">
        <f t="shared" si="66"/>
        <v>21.77469970132659</v>
      </c>
      <c r="F170" s="422">
        <f t="shared" ref="F170:AC170" si="69">F149*F$129</f>
        <v>0</v>
      </c>
      <c r="G170" s="422">
        <f t="shared" si="69"/>
        <v>0</v>
      </c>
      <c r="H170" s="422">
        <f t="shared" si="69"/>
        <v>637.02136250879448</v>
      </c>
      <c r="I170" s="422">
        <f t="shared" si="69"/>
        <v>680.9243100168585</v>
      </c>
      <c r="J170" s="422">
        <f t="shared" si="69"/>
        <v>723.04253450563272</v>
      </c>
      <c r="K170" s="422">
        <f t="shared" si="69"/>
        <v>763.43163577172595</v>
      </c>
      <c r="L170" s="422">
        <f t="shared" si="69"/>
        <v>802.14558574048453</v>
      </c>
      <c r="M170" s="422">
        <f t="shared" si="69"/>
        <v>839.23677531131966</v>
      </c>
      <c r="N170" s="422">
        <f t="shared" si="69"/>
        <v>874.7560598609823</v>
      </c>
      <c r="O170" s="422">
        <f t="shared" si="69"/>
        <v>908.75280344321072</v>
      </c>
      <c r="P170" s="422">
        <f t="shared" si="69"/>
        <v>941.27492172208213</v>
      </c>
      <c r="Q170" s="422">
        <f t="shared" si="69"/>
        <v>972.36892367530572</v>
      </c>
      <c r="R170" s="422">
        <f t="shared" si="69"/>
        <v>1002.0799521027041</v>
      </c>
      <c r="S170" s="422">
        <f t="shared" si="69"/>
        <v>1030.4518229740634</v>
      </c>
      <c r="T170" s="422">
        <f t="shared" si="69"/>
        <v>1057.5270636495995</v>
      </c>
      <c r="U170" s="422">
        <f t="shared" si="69"/>
        <v>1083.346950005302</v>
      </c>
      <c r="V170" s="422">
        <f t="shared" si="69"/>
        <v>1107.9515424945257</v>
      </c>
      <c r="W170" s="422">
        <f t="shared" si="69"/>
        <v>1131.3797211762676</v>
      </c>
      <c r="X170" s="422">
        <f t="shared" si="69"/>
        <v>1153.6692197397165</v>
      </c>
      <c r="Y170" s="422">
        <f t="shared" si="69"/>
        <v>1174.8566585538181</v>
      </c>
      <c r="Z170" s="422">
        <f t="shared" si="69"/>
        <v>1194.9775767697467</v>
      </c>
      <c r="AA170" s="422">
        <f t="shared" si="69"/>
        <v>1214.0664635034243</v>
      </c>
      <c r="AB170" s="422">
        <f t="shared" si="69"/>
        <v>1232.1567881243921</v>
      </c>
      <c r="AC170" s="422">
        <f t="shared" si="69"/>
        <v>1249.2810296766352</v>
      </c>
    </row>
    <row r="171" spans="1:29" ht="15.75">
      <c r="A171" s="25"/>
      <c r="B171" s="25"/>
      <c r="C171" s="403" t="s">
        <v>200</v>
      </c>
      <c r="D171" s="416">
        <f t="shared" si="66"/>
        <v>69.463152604487334</v>
      </c>
      <c r="F171" s="422">
        <f t="shared" ref="F171:AC171" si="70">F150*F$129</f>
        <v>0</v>
      </c>
      <c r="G171" s="422">
        <f t="shared" si="70"/>
        <v>0</v>
      </c>
      <c r="H171" s="422">
        <f t="shared" si="70"/>
        <v>2053.9210617107474</v>
      </c>
      <c r="I171" s="422">
        <f t="shared" si="70"/>
        <v>2193.5079299823515</v>
      </c>
      <c r="J171" s="422">
        <f t="shared" si="70"/>
        <v>2327.0931437235536</v>
      </c>
      <c r="K171" s="422">
        <f t="shared" si="70"/>
        <v>2454.8703046933992</v>
      </c>
      <c r="L171" s="422">
        <f t="shared" si="70"/>
        <v>2577.0271932765218</v>
      </c>
      <c r="M171" s="422">
        <f t="shared" si="70"/>
        <v>2693.7459398094675</v>
      </c>
      <c r="N171" s="422">
        <f t="shared" si="70"/>
        <v>2805.2031908997342</v>
      </c>
      <c r="O171" s="422">
        <f t="shared" si="70"/>
        <v>2911.5702708835192</v>
      </c>
      <c r="P171" s="422">
        <f t="shared" si="70"/>
        <v>3013.0133385639792</v>
      </c>
      <c r="Q171" s="422">
        <f t="shared" si="70"/>
        <v>3109.6935393675403</v>
      </c>
      <c r="R171" s="422">
        <f t="shared" si="70"/>
        <v>3201.7671530519797</v>
      </c>
      <c r="S171" s="422">
        <f t="shared" si="70"/>
        <v>3289.3857370959154</v>
      </c>
      <c r="T171" s="422">
        <f t="shared" si="70"/>
        <v>3372.6962658956973</v>
      </c>
      <c r="U171" s="422">
        <f t="shared" si="70"/>
        <v>3451.8412658919337</v>
      </c>
      <c r="V171" s="422">
        <f t="shared" si="70"/>
        <v>3526.9589467444112</v>
      </c>
      <c r="W171" s="422">
        <f t="shared" si="70"/>
        <v>3598.1833286706105</v>
      </c>
      <c r="X171" s="422">
        <f t="shared" si="70"/>
        <v>3665.6443660597333</v>
      </c>
      <c r="Y171" s="422">
        <f t="shared" si="70"/>
        <v>3729.4680674708839</v>
      </c>
      <c r="Z171" s="422">
        <f t="shared" si="70"/>
        <v>3789.7766121208333</v>
      </c>
      <c r="AA171" s="422">
        <f t="shared" si="70"/>
        <v>3846.6884629638066</v>
      </c>
      <c r="AB171" s="422">
        <f t="shared" si="70"/>
        <v>3900.3184764626717</v>
      </c>
      <c r="AC171" s="422">
        <f t="shared" si="70"/>
        <v>3950.7780091480358</v>
      </c>
    </row>
    <row r="172" spans="1:29" ht="15.75">
      <c r="A172" s="25"/>
      <c r="B172" s="25"/>
      <c r="C172" s="403" t="s">
        <v>201</v>
      </c>
      <c r="D172" s="416">
        <f t="shared" si="66"/>
        <v>318.06147931552408</v>
      </c>
      <c r="F172" s="422">
        <f t="shared" ref="F172:AC172" si="71">F151*F$129</f>
        <v>0</v>
      </c>
      <c r="G172" s="422">
        <f t="shared" si="71"/>
        <v>0</v>
      </c>
      <c r="H172" s="422">
        <f t="shared" si="71"/>
        <v>13206.451988052406</v>
      </c>
      <c r="I172" s="422">
        <f t="shared" si="71"/>
        <v>13466.426046486069</v>
      </c>
      <c r="J172" s="422">
        <f t="shared" si="71"/>
        <v>13616.276653201703</v>
      </c>
      <c r="K172" s="422">
        <f t="shared" si="71"/>
        <v>13663.044176566247</v>
      </c>
      <c r="L172" s="422">
        <f t="shared" si="71"/>
        <v>13612.916942668049</v>
      </c>
      <c r="M172" s="422">
        <f t="shared" si="71"/>
        <v>13472.167972796291</v>
      </c>
      <c r="N172" s="422">
        <f t="shared" si="71"/>
        <v>13395.846068827659</v>
      </c>
      <c r="O172" s="422">
        <f t="shared" si="71"/>
        <v>13245.398892393107</v>
      </c>
      <c r="P172" s="422">
        <f t="shared" si="71"/>
        <v>13582.407931056978</v>
      </c>
      <c r="Q172" s="422">
        <f t="shared" si="71"/>
        <v>13887.140150943866</v>
      </c>
      <c r="R172" s="422">
        <f t="shared" si="71"/>
        <v>14165.244779077566</v>
      </c>
      <c r="S172" s="422">
        <f t="shared" si="71"/>
        <v>14413.459937904838</v>
      </c>
      <c r="T172" s="422">
        <f t="shared" si="71"/>
        <v>14637.492916699175</v>
      </c>
      <c r="U172" s="422">
        <f t="shared" si="71"/>
        <v>14833.874468916547</v>
      </c>
      <c r="V172" s="422">
        <f t="shared" si="71"/>
        <v>15008.337761155515</v>
      </c>
      <c r="W172" s="422">
        <f t="shared" si="71"/>
        <v>15157.247366069847</v>
      </c>
      <c r="X172" s="422">
        <f t="shared" si="71"/>
        <v>15283.956658102654</v>
      </c>
      <c r="Y172" s="422">
        <f t="shared" si="71"/>
        <v>15392.067416001888</v>
      </c>
      <c r="Z172" s="422">
        <f t="shared" si="71"/>
        <v>15649.931990519313</v>
      </c>
      <c r="AA172" s="422">
        <f t="shared" si="71"/>
        <v>15896.511114486015</v>
      </c>
      <c r="AB172" s="422">
        <f t="shared" si="71"/>
        <v>16127.373870021884</v>
      </c>
      <c r="AC172" s="422">
        <f t="shared" si="71"/>
        <v>16347.90421357647</v>
      </c>
    </row>
    <row r="173" spans="1:29" ht="15.75">
      <c r="A173" s="25"/>
      <c r="B173" s="25"/>
      <c r="C173" s="403" t="s">
        <v>579</v>
      </c>
      <c r="D173" s="416">
        <f t="shared" si="66"/>
        <v>0.58943344234981032</v>
      </c>
      <c r="F173" s="422">
        <f t="shared" ref="F173:AC173" si="72">F152*F$129</f>
        <v>0</v>
      </c>
      <c r="G173" s="422">
        <f t="shared" si="72"/>
        <v>0</v>
      </c>
      <c r="H173" s="422">
        <f t="shared" si="72"/>
        <v>17.428661330881415</v>
      </c>
      <c r="I173" s="422">
        <f t="shared" si="72"/>
        <v>18.613133460164615</v>
      </c>
      <c r="J173" s="422">
        <f t="shared" si="72"/>
        <v>19.746678216344101</v>
      </c>
      <c r="K173" s="422">
        <f t="shared" si="72"/>
        <v>20.830938417907085</v>
      </c>
      <c r="L173" s="422">
        <f t="shared" si="72"/>
        <v>21.867507485744653</v>
      </c>
      <c r="M173" s="422">
        <f t="shared" si="72"/>
        <v>22.857930896950798</v>
      </c>
      <c r="N173" s="422">
        <f t="shared" si="72"/>
        <v>23.803707596131868</v>
      </c>
      <c r="O173" s="422">
        <f t="shared" si="72"/>
        <v>24.706291365465283</v>
      </c>
      <c r="P173" s="422">
        <f t="shared" si="72"/>
        <v>25.567092154710707</v>
      </c>
      <c r="Q173" s="422">
        <f t="shared" si="72"/>
        <v>26.387477372340932</v>
      </c>
      <c r="R173" s="422">
        <f t="shared" si="72"/>
        <v>27.168773138926969</v>
      </c>
      <c r="S173" s="422">
        <f t="shared" si="72"/>
        <v>27.912265503877546</v>
      </c>
      <c r="T173" s="422">
        <f t="shared" si="72"/>
        <v>28.61920162660207</v>
      </c>
      <c r="U173" s="422">
        <f t="shared" si="72"/>
        <v>29.290790923134285</v>
      </c>
      <c r="V173" s="422">
        <f t="shared" si="72"/>
        <v>29.928206179224318</v>
      </c>
      <c r="W173" s="422">
        <f t="shared" si="72"/>
        <v>30.532584630876759</v>
      </c>
      <c r="X173" s="422">
        <f t="shared" si="72"/>
        <v>31.105029013284348</v>
      </c>
      <c r="Y173" s="422">
        <f t="shared" si="72"/>
        <v>31.646608579079217</v>
      </c>
      <c r="Z173" s="422">
        <f t="shared" si="72"/>
        <v>32.158360086796279</v>
      </c>
      <c r="AA173" s="422">
        <f t="shared" si="72"/>
        <v>32.641288760418064</v>
      </c>
      <c r="AB173" s="422">
        <f t="shared" si="72"/>
        <v>33.096369220844231</v>
      </c>
      <c r="AC173" s="422">
        <f t="shared" si="72"/>
        <v>33.524546390104689</v>
      </c>
    </row>
    <row r="174" spans="1:29" ht="15.75">
      <c r="A174" s="25"/>
      <c r="B174" s="25"/>
      <c r="C174" s="403" t="s">
        <v>202</v>
      </c>
      <c r="D174" s="416">
        <f t="shared" si="66"/>
        <v>382.02820131259847</v>
      </c>
      <c r="F174" s="422">
        <f t="shared" ref="F174:AC174" si="73">F153*F$129</f>
        <v>0</v>
      </c>
      <c r="G174" s="422">
        <f t="shared" si="73"/>
        <v>0</v>
      </c>
      <c r="H174" s="422">
        <f t="shared" si="73"/>
        <v>11295.999957144626</v>
      </c>
      <c r="I174" s="422">
        <f t="shared" si="73"/>
        <v>12063.689274620472</v>
      </c>
      <c r="J174" s="422">
        <f t="shared" si="73"/>
        <v>12798.37114571386</v>
      </c>
      <c r="K174" s="422">
        <f t="shared" si="73"/>
        <v>13501.110326759717</v>
      </c>
      <c r="L174" s="422">
        <f t="shared" si="73"/>
        <v>14172.939558137548</v>
      </c>
      <c r="M174" s="422">
        <f t="shared" si="73"/>
        <v>14814.860506519064</v>
      </c>
      <c r="N174" s="422">
        <f t="shared" si="73"/>
        <v>15427.844679577032</v>
      </c>
      <c r="O174" s="422">
        <f t="shared" si="73"/>
        <v>16012.834313958438</v>
      </c>
      <c r="P174" s="422">
        <f t="shared" si="73"/>
        <v>16570.7432373017</v>
      </c>
      <c r="Q174" s="422">
        <f t="shared" si="73"/>
        <v>17102.457705054483</v>
      </c>
      <c r="R174" s="422">
        <f t="shared" si="73"/>
        <v>17608.837212827431</v>
      </c>
      <c r="S174" s="422">
        <f t="shared" si="73"/>
        <v>18090.715284996862</v>
      </c>
      <c r="T174" s="422">
        <f t="shared" si="73"/>
        <v>18548.900240249324</v>
      </c>
      <c r="U174" s="422">
        <f t="shared" si="73"/>
        <v>18984.175934740262</v>
      </c>
      <c r="V174" s="422">
        <f t="shared" si="73"/>
        <v>19397.302483519903</v>
      </c>
      <c r="W174" s="422">
        <f t="shared" si="73"/>
        <v>19789.016960860077</v>
      </c>
      <c r="X174" s="422">
        <f t="shared" si="73"/>
        <v>20160.034080097248</v>
      </c>
      <c r="Y174" s="422">
        <f t="shared" si="73"/>
        <v>20511.046853589462</v>
      </c>
      <c r="Z174" s="422">
        <f t="shared" si="73"/>
        <v>20842.72723336699</v>
      </c>
      <c r="AA174" s="422">
        <f t="shared" si="73"/>
        <v>21155.726733039959</v>
      </c>
      <c r="AB174" s="422">
        <f t="shared" si="73"/>
        <v>21450.677031509695</v>
      </c>
      <c r="AC174" s="422">
        <f t="shared" si="73"/>
        <v>21728.190559014325</v>
      </c>
    </row>
    <row r="175" spans="1:29" ht="15.75">
      <c r="A175" s="25"/>
      <c r="B175" s="25"/>
      <c r="C175" s="402"/>
      <c r="D175" s="417"/>
      <c r="F175" s="413">
        <f>SUM(F168:F174)</f>
        <v>0</v>
      </c>
      <c r="G175" s="413">
        <f t="shared" ref="G175:AC175" si="74">SUM(G168:G174)</f>
        <v>0</v>
      </c>
      <c r="H175" s="413">
        <f t="shared" si="74"/>
        <v>38153.876786735353</v>
      </c>
      <c r="I175" s="413">
        <f t="shared" si="74"/>
        <v>40133.106007943497</v>
      </c>
      <c r="J175" s="413">
        <f t="shared" si="74"/>
        <v>41932.304879946561</v>
      </c>
      <c r="K175" s="413">
        <f t="shared" si="74"/>
        <v>43560.691927686807</v>
      </c>
      <c r="L175" s="413">
        <f t="shared" si="74"/>
        <v>45026.569853241519</v>
      </c>
      <c r="M175" s="413">
        <f t="shared" si="74"/>
        <v>46338.264108911273</v>
      </c>
      <c r="N175" s="413">
        <f t="shared" si="74"/>
        <v>47652.815765622814</v>
      </c>
      <c r="O175" s="413">
        <f t="shared" si="74"/>
        <v>48833.606324025277</v>
      </c>
      <c r="P175" s="413">
        <f t="shared" si="74"/>
        <v>50444.094362975346</v>
      </c>
      <c r="Q175" s="413">
        <f t="shared" si="74"/>
        <v>51966.368826266727</v>
      </c>
      <c r="R175" s="413">
        <f t="shared" si="74"/>
        <v>53407.84739224959</v>
      </c>
      <c r="S175" s="413">
        <f t="shared" si="74"/>
        <v>54766.984650152641</v>
      </c>
      <c r="T175" s="413">
        <f t="shared" si="74"/>
        <v>56051.15386910543</v>
      </c>
      <c r="U175" s="413">
        <f t="shared" si="74"/>
        <v>57258.50275019792</v>
      </c>
      <c r="V175" s="413">
        <f t="shared" si="74"/>
        <v>58396.333788458498</v>
      </c>
      <c r="W175" s="413">
        <f t="shared" si="74"/>
        <v>59462.534638291909</v>
      </c>
      <c r="X175" s="413">
        <f t="shared" si="74"/>
        <v>60461.936842405434</v>
      </c>
      <c r="Y175" s="413">
        <f t="shared" si="74"/>
        <v>61399.576729309571</v>
      </c>
      <c r="Z175" s="413">
        <f t="shared" si="74"/>
        <v>62445.198838888769</v>
      </c>
      <c r="AA175" s="413">
        <f t="shared" si="74"/>
        <v>63439.114954298217</v>
      </c>
      <c r="AB175" s="413">
        <f t="shared" si="74"/>
        <v>64378.205255976027</v>
      </c>
      <c r="AC175" s="413">
        <f t="shared" si="74"/>
        <v>65269.125999470431</v>
      </c>
    </row>
    <row r="176" spans="1:29" ht="15.75">
      <c r="A176" s="25"/>
      <c r="B176" s="25"/>
      <c r="C176" s="401" t="s">
        <v>182</v>
      </c>
      <c r="D176" s="418">
        <f>NPV(0.03,F156:AC156)/1000</f>
        <v>635.30302271766004</v>
      </c>
    </row>
    <row r="177" spans="1:29" ht="15.75">
      <c r="A177" s="25"/>
      <c r="B177" s="25"/>
      <c r="C177" s="401" t="s">
        <v>183</v>
      </c>
      <c r="D177" s="419">
        <f>IRR(F177:AC177)</f>
        <v>0.12561524065373536</v>
      </c>
      <c r="F177" s="406">
        <f>F166+F175</f>
        <v>0</v>
      </c>
      <c r="G177" s="406">
        <f t="shared" ref="G177:AC177" si="75">G166+G175</f>
        <v>-259798.28447544537</v>
      </c>
      <c r="H177" s="406">
        <f t="shared" si="75"/>
        <v>20796.301133134897</v>
      </c>
      <c r="I177" s="406">
        <f t="shared" si="75"/>
        <v>29794.847768672094</v>
      </c>
      <c r="J177" s="406">
        <f t="shared" si="75"/>
        <v>31324.387096530034</v>
      </c>
      <c r="K177" s="406">
        <f t="shared" si="75"/>
        <v>32696.510255408932</v>
      </c>
      <c r="L177" s="406">
        <f t="shared" si="75"/>
        <v>33919.07598175836</v>
      </c>
      <c r="M177" s="406">
        <f t="shared" si="75"/>
        <v>34999.979215627805</v>
      </c>
      <c r="N177" s="406">
        <f t="shared" si="75"/>
        <v>36095.843572152393</v>
      </c>
      <c r="O177" s="406">
        <f t="shared" si="75"/>
        <v>37069.645767341892</v>
      </c>
      <c r="P177" s="406">
        <f t="shared" si="75"/>
        <v>38484.45189252984</v>
      </c>
      <c r="Q177" s="406">
        <f t="shared" si="75"/>
        <v>39821.97033800972</v>
      </c>
      <c r="R177" s="406">
        <f t="shared" si="75"/>
        <v>41089.24981018425</v>
      </c>
      <c r="S177" s="406">
        <f t="shared" si="75"/>
        <v>42284.387165730936</v>
      </c>
      <c r="T177" s="406">
        <f t="shared" si="75"/>
        <v>43414.408848480329</v>
      </c>
      <c r="U177" s="406">
        <f t="shared" si="75"/>
        <v>44477.126319052259</v>
      </c>
      <c r="V177" s="406">
        <f t="shared" si="75"/>
        <v>45479.516103847258</v>
      </c>
      <c r="W177" s="406">
        <f t="shared" si="75"/>
        <v>46419.149856659737</v>
      </c>
      <c r="X177" s="406">
        <f t="shared" si="75"/>
        <v>47300.552792673669</v>
      </c>
      <c r="Y177" s="406">
        <f t="shared" si="75"/>
        <v>48128.464299667656</v>
      </c>
      <c r="Z177" s="406">
        <f t="shared" si="75"/>
        <v>49072.341085673048</v>
      </c>
      <c r="AA177" s="406">
        <f t="shared" si="75"/>
        <v>49972.215941096343</v>
      </c>
      <c r="AB177" s="406">
        <f t="shared" si="75"/>
        <v>50824.698630857922</v>
      </c>
      <c r="AC177" s="406">
        <f t="shared" si="75"/>
        <v>51636.183318016185</v>
      </c>
    </row>
    <row r="178" spans="1:29" ht="15.75">
      <c r="A178" s="25"/>
      <c r="B178" s="25"/>
      <c r="C178" s="401" t="s">
        <v>184</v>
      </c>
      <c r="D178" s="420">
        <f>SUM(D168:D174)/SUM(D162:D165)</f>
        <v>2.1864284889485877</v>
      </c>
    </row>
    <row r="179" spans="1:29">
      <c r="A179" s="25"/>
      <c r="B179" s="25"/>
      <c r="C179" s="45"/>
      <c r="D179" s="25"/>
    </row>
    <row r="180" spans="1:29">
      <c r="A180" s="25"/>
      <c r="B180" s="25"/>
      <c r="C180" s="45"/>
      <c r="D180" s="25"/>
    </row>
    <row r="181" spans="1:29" ht="14.25">
      <c r="A181" s="36"/>
      <c r="B181" s="36"/>
      <c r="C181" s="412" t="s">
        <v>597</v>
      </c>
      <c r="D181" s="39"/>
      <c r="E181" s="39"/>
    </row>
    <row r="182" spans="1:29" ht="15.75">
      <c r="A182" s="25"/>
      <c r="B182" s="25"/>
      <c r="C182" s="401" t="s">
        <v>1</v>
      </c>
      <c r="D182" s="418">
        <f>SUM(D183:D186)</f>
        <v>408.92289560002956</v>
      </c>
      <c r="E182" s="39"/>
      <c r="F182" s="39"/>
    </row>
    <row r="183" spans="1:29" ht="15.75">
      <c r="A183" s="25"/>
      <c r="B183" s="25"/>
      <c r="C183" s="403" t="s">
        <v>196</v>
      </c>
      <c r="D183" s="416">
        <f>-SUM(F183:AC183)/1000</f>
        <v>247.25123934425159</v>
      </c>
      <c r="E183" s="39"/>
      <c r="F183" s="406">
        <f>F141*F$131</f>
        <v>0</v>
      </c>
      <c r="G183" s="406">
        <f t="shared" ref="G183:AC183" si="76">G141*G$131</f>
        <v>-240737.18228666257</v>
      </c>
      <c r="H183" s="406">
        <f t="shared" si="76"/>
        <v>-6514.0570575889978</v>
      </c>
      <c r="I183" s="406">
        <f t="shared" si="76"/>
        <v>0</v>
      </c>
      <c r="J183" s="406">
        <f t="shared" si="76"/>
        <v>0</v>
      </c>
      <c r="K183" s="406">
        <f t="shared" si="76"/>
        <v>0</v>
      </c>
      <c r="L183" s="406">
        <f t="shared" si="76"/>
        <v>0</v>
      </c>
      <c r="M183" s="406">
        <f t="shared" si="76"/>
        <v>0</v>
      </c>
      <c r="N183" s="406">
        <f t="shared" si="76"/>
        <v>0</v>
      </c>
      <c r="O183" s="406">
        <f t="shared" si="76"/>
        <v>0</v>
      </c>
      <c r="P183" s="406">
        <f t="shared" si="76"/>
        <v>0</v>
      </c>
      <c r="Q183" s="406">
        <f t="shared" si="76"/>
        <v>0</v>
      </c>
      <c r="R183" s="406">
        <f t="shared" si="76"/>
        <v>0</v>
      </c>
      <c r="S183" s="406">
        <f t="shared" si="76"/>
        <v>0</v>
      </c>
      <c r="T183" s="406">
        <f t="shared" si="76"/>
        <v>0</v>
      </c>
      <c r="U183" s="406">
        <f t="shared" si="76"/>
        <v>0</v>
      </c>
      <c r="V183" s="406">
        <f t="shared" si="76"/>
        <v>0</v>
      </c>
      <c r="W183" s="406">
        <f t="shared" si="76"/>
        <v>0</v>
      </c>
      <c r="X183" s="406">
        <f t="shared" si="76"/>
        <v>0</v>
      </c>
      <c r="Y183" s="406">
        <f t="shared" si="76"/>
        <v>0</v>
      </c>
      <c r="Z183" s="406">
        <f t="shared" si="76"/>
        <v>0</v>
      </c>
      <c r="AA183" s="406">
        <f t="shared" si="76"/>
        <v>0</v>
      </c>
      <c r="AB183" s="406">
        <f t="shared" si="76"/>
        <v>0</v>
      </c>
      <c r="AC183" s="406">
        <f t="shared" si="76"/>
        <v>0</v>
      </c>
    </row>
    <row r="184" spans="1:29" ht="15.75">
      <c r="A184" s="25"/>
      <c r="B184" s="25"/>
      <c r="C184" s="403" t="s">
        <v>197</v>
      </c>
      <c r="D184" s="416">
        <f>-SUM(F184:AC184)/1000</f>
        <v>43.475921249426669</v>
      </c>
      <c r="F184" s="406">
        <f t="shared" ref="F184:AC184" si="77">F142*F$131</f>
        <v>0</v>
      </c>
      <c r="G184" s="406">
        <f t="shared" si="77"/>
        <v>0</v>
      </c>
      <c r="H184" s="406">
        <f t="shared" si="77"/>
        <v>-3673.3404460088336</v>
      </c>
      <c r="I184" s="406">
        <f t="shared" si="77"/>
        <v>-3433.0284542138629</v>
      </c>
      <c r="J184" s="406">
        <f t="shared" si="77"/>
        <v>-3208.4378076765074</v>
      </c>
      <c r="K184" s="406">
        <f t="shared" si="77"/>
        <v>-2998.5400071743056</v>
      </c>
      <c r="L184" s="406">
        <f t="shared" si="77"/>
        <v>-2802.3738384806588</v>
      </c>
      <c r="M184" s="406">
        <f t="shared" si="77"/>
        <v>-2619.0409705426719</v>
      </c>
      <c r="N184" s="406">
        <f t="shared" si="77"/>
        <v>-2447.7018416286651</v>
      </c>
      <c r="O184" s="406">
        <f t="shared" si="77"/>
        <v>-2287.5718146062291</v>
      </c>
      <c r="P184" s="406">
        <f t="shared" si="77"/>
        <v>-2137.9175837441394</v>
      </c>
      <c r="Q184" s="406">
        <f t="shared" si="77"/>
        <v>-1998.0538165833075</v>
      </c>
      <c r="R184" s="406">
        <f t="shared" si="77"/>
        <v>-1867.3400154984181</v>
      </c>
      <c r="S184" s="406">
        <f t="shared" si="77"/>
        <v>-1745.1775845779607</v>
      </c>
      <c r="T184" s="406">
        <f t="shared" si="77"/>
        <v>-1631.0070883906176</v>
      </c>
      <c r="U184" s="406">
        <f t="shared" si="77"/>
        <v>-1524.3056900846891</v>
      </c>
      <c r="V184" s="406">
        <f t="shared" si="77"/>
        <v>-1424.5847570884946</v>
      </c>
      <c r="W184" s="406">
        <f t="shared" si="77"/>
        <v>-1331.3876234471911</v>
      </c>
      <c r="X184" s="406">
        <f t="shared" si="77"/>
        <v>-1244.2874985487767</v>
      </c>
      <c r="Y184" s="406">
        <f t="shared" si="77"/>
        <v>-1162.8855126624082</v>
      </c>
      <c r="Z184" s="406">
        <f t="shared" si="77"/>
        <v>-1086.808890338699</v>
      </c>
      <c r="AA184" s="406">
        <f t="shared" si="77"/>
        <v>-1015.7092433071954</v>
      </c>
      <c r="AB184" s="406">
        <f t="shared" si="77"/>
        <v>-949.26097505345365</v>
      </c>
      <c r="AC184" s="406">
        <f t="shared" si="77"/>
        <v>-887.15978976958274</v>
      </c>
    </row>
    <row r="185" spans="1:29" ht="15.75">
      <c r="A185" s="25"/>
      <c r="B185" s="25"/>
      <c r="C185" s="404" t="s">
        <v>546</v>
      </c>
      <c r="D185" s="416">
        <f>-SUM(F185:AC185)/1000</f>
        <v>0</v>
      </c>
      <c r="F185" s="406">
        <f t="shared" ref="F185:AC185" si="78">F143*F$131</f>
        <v>0</v>
      </c>
      <c r="G185" s="406">
        <f t="shared" si="78"/>
        <v>0</v>
      </c>
      <c r="H185" s="406">
        <f t="shared" si="78"/>
        <v>0</v>
      </c>
      <c r="I185" s="406">
        <f t="shared" si="78"/>
        <v>0</v>
      </c>
      <c r="J185" s="406">
        <f t="shared" si="78"/>
        <v>0</v>
      </c>
      <c r="K185" s="406">
        <f t="shared" si="78"/>
        <v>0</v>
      </c>
      <c r="L185" s="406">
        <f t="shared" si="78"/>
        <v>0</v>
      </c>
      <c r="M185" s="406">
        <f t="shared" si="78"/>
        <v>0</v>
      </c>
      <c r="N185" s="406">
        <f t="shared" si="78"/>
        <v>0</v>
      </c>
      <c r="O185" s="406">
        <f t="shared" si="78"/>
        <v>0</v>
      </c>
      <c r="P185" s="406">
        <f t="shared" si="78"/>
        <v>0</v>
      </c>
      <c r="Q185" s="406">
        <f t="shared" si="78"/>
        <v>0</v>
      </c>
      <c r="R185" s="406">
        <f t="shared" si="78"/>
        <v>0</v>
      </c>
      <c r="S185" s="406">
        <f t="shared" si="78"/>
        <v>0</v>
      </c>
      <c r="T185" s="406">
        <f t="shared" si="78"/>
        <v>0</v>
      </c>
      <c r="U185" s="406">
        <f t="shared" si="78"/>
        <v>0</v>
      </c>
      <c r="V185" s="406">
        <f t="shared" si="78"/>
        <v>0</v>
      </c>
      <c r="W185" s="406">
        <f t="shared" si="78"/>
        <v>0</v>
      </c>
      <c r="X185" s="406">
        <f t="shared" si="78"/>
        <v>0</v>
      </c>
      <c r="Y185" s="406">
        <f t="shared" si="78"/>
        <v>0</v>
      </c>
      <c r="Z185" s="406">
        <f t="shared" si="78"/>
        <v>0</v>
      </c>
      <c r="AA185" s="406">
        <f t="shared" si="78"/>
        <v>0</v>
      </c>
      <c r="AB185" s="406">
        <f t="shared" si="78"/>
        <v>0</v>
      </c>
      <c r="AC185" s="406">
        <f t="shared" si="78"/>
        <v>0</v>
      </c>
    </row>
    <row r="186" spans="1:29" ht="15.75">
      <c r="A186" s="25"/>
      <c r="B186" s="25"/>
      <c r="C186" s="403" t="s">
        <v>198</v>
      </c>
      <c r="D186" s="416">
        <f>-SUM(F186:AC186)/1000</f>
        <v>118.19573500635131</v>
      </c>
      <c r="F186" s="406">
        <f t="shared" ref="F186:AC186" si="79">F144*F$131</f>
        <v>0</v>
      </c>
      <c r="G186" s="406">
        <f t="shared" si="79"/>
        <v>0</v>
      </c>
      <c r="H186" s="406">
        <f t="shared" si="79"/>
        <v>-5295.3990767931136</v>
      </c>
      <c r="I186" s="406">
        <f t="shared" si="79"/>
        <v>-5443.8682097873125</v>
      </c>
      <c r="J186" s="406">
        <f t="shared" si="79"/>
        <v>-5559.4983756706451</v>
      </c>
      <c r="K186" s="406">
        <f t="shared" si="79"/>
        <v>-5645.5185738417968</v>
      </c>
      <c r="L186" s="406">
        <f t="shared" si="79"/>
        <v>-5704.8960628156174</v>
      </c>
      <c r="M186" s="406">
        <f t="shared" si="79"/>
        <v>-5740.3558431749898</v>
      </c>
      <c r="N186" s="406">
        <f t="shared" si="79"/>
        <v>-5754.3987556699249</v>
      </c>
      <c r="O186" s="406">
        <f t="shared" si="79"/>
        <v>-5749.318290214409</v>
      </c>
      <c r="P186" s="406">
        <f t="shared" si="79"/>
        <v>-5727.2161950267337</v>
      </c>
      <c r="Q186" s="406">
        <f t="shared" si="79"/>
        <v>-5690.0169690908215</v>
      </c>
      <c r="R186" s="406">
        <f t="shared" si="79"/>
        <v>-5639.4813154560516</v>
      </c>
      <c r="S186" s="406">
        <f t="shared" si="79"/>
        <v>-5577.2186276129514</v>
      </c>
      <c r="T186" s="406">
        <f t="shared" si="79"/>
        <v>-5504.6985762577242</v>
      </c>
      <c r="U186" s="406">
        <f t="shared" si="79"/>
        <v>-5423.2618591651926</v>
      </c>
      <c r="V186" s="406">
        <f t="shared" si="79"/>
        <v>-5334.1301726061401</v>
      </c>
      <c r="W186" s="406">
        <f t="shared" si="79"/>
        <v>-5238.4154587496005</v>
      </c>
      <c r="X186" s="406">
        <f t="shared" si="79"/>
        <v>-5137.1284797651506</v>
      </c>
      <c r="Y186" s="406">
        <f t="shared" si="79"/>
        <v>-5031.1867658658439</v>
      </c>
      <c r="Z186" s="406">
        <f t="shared" si="79"/>
        <v>-4921.4219812926722</v>
      </c>
      <c r="AA186" s="406">
        <f t="shared" si="79"/>
        <v>-4808.5867492207353</v>
      </c>
      <c r="AB186" s="406">
        <f t="shared" si="79"/>
        <v>-4693.3609737506986</v>
      </c>
      <c r="AC186" s="406">
        <f t="shared" si="79"/>
        <v>-4576.357694523198</v>
      </c>
    </row>
    <row r="187" spans="1:29" ht="15.75">
      <c r="A187" s="25"/>
      <c r="B187" s="25"/>
      <c r="C187" s="402"/>
      <c r="D187" s="417"/>
      <c r="F187" s="414">
        <f>SUM(F183:F186)</f>
        <v>0</v>
      </c>
      <c r="G187" s="414">
        <f t="shared" ref="G187:AC187" si="80">SUM(G183:G186)</f>
        <v>-240737.18228666257</v>
      </c>
      <c r="H187" s="414">
        <f t="shared" si="80"/>
        <v>-15482.796580390945</v>
      </c>
      <c r="I187" s="414">
        <f t="shared" si="80"/>
        <v>-8876.8966640011749</v>
      </c>
      <c r="J187" s="414">
        <f t="shared" si="80"/>
        <v>-8767.9361833471521</v>
      </c>
      <c r="K187" s="414">
        <f t="shared" si="80"/>
        <v>-8644.0585810161028</v>
      </c>
      <c r="L187" s="414">
        <f t="shared" si="80"/>
        <v>-8507.2699012962767</v>
      </c>
      <c r="M187" s="414">
        <f t="shared" si="80"/>
        <v>-8359.3968137176616</v>
      </c>
      <c r="N187" s="414">
        <f t="shared" si="80"/>
        <v>-8202.1005972985895</v>
      </c>
      <c r="O187" s="414">
        <f t="shared" si="80"/>
        <v>-8036.890104820638</v>
      </c>
      <c r="P187" s="414">
        <f t="shared" si="80"/>
        <v>-7865.1337787708726</v>
      </c>
      <c r="Q187" s="414">
        <f t="shared" si="80"/>
        <v>-7688.0707856741292</v>
      </c>
      <c r="R187" s="414">
        <f t="shared" si="80"/>
        <v>-7506.8213309544699</v>
      </c>
      <c r="S187" s="414">
        <f t="shared" si="80"/>
        <v>-7322.3962121909117</v>
      </c>
      <c r="T187" s="414">
        <f t="shared" si="80"/>
        <v>-7135.7056646483416</v>
      </c>
      <c r="U187" s="414">
        <f t="shared" si="80"/>
        <v>-6947.5675492498813</v>
      </c>
      <c r="V187" s="414">
        <f t="shared" si="80"/>
        <v>-6758.7149296946345</v>
      </c>
      <c r="W187" s="414">
        <f t="shared" si="80"/>
        <v>-6569.8030821967914</v>
      </c>
      <c r="X187" s="414">
        <f t="shared" si="80"/>
        <v>-6381.4159783139276</v>
      </c>
      <c r="Y187" s="414">
        <f t="shared" si="80"/>
        <v>-6194.0722785282524</v>
      </c>
      <c r="Z187" s="414">
        <f t="shared" si="80"/>
        <v>-6008.230871631371</v>
      </c>
      <c r="AA187" s="414">
        <f t="shared" si="80"/>
        <v>-5824.295992527931</v>
      </c>
      <c r="AB187" s="414">
        <f t="shared" si="80"/>
        <v>-5642.6219488041525</v>
      </c>
      <c r="AC187" s="414">
        <f t="shared" si="80"/>
        <v>-5463.5174842927809</v>
      </c>
    </row>
    <row r="188" spans="1:29" ht="15.75">
      <c r="A188" s="25"/>
      <c r="B188" s="25"/>
      <c r="C188" s="401" t="s">
        <v>0</v>
      </c>
      <c r="D188" s="418">
        <f>SUM(D189:D195)</f>
        <v>694.09296133235171</v>
      </c>
      <c r="F188" s="406"/>
      <c r="G188" s="406"/>
      <c r="H188" s="406"/>
      <c r="I188" s="406"/>
      <c r="J188" s="406"/>
      <c r="K188" s="406"/>
      <c r="L188" s="406"/>
      <c r="M188" s="406"/>
      <c r="N188" s="406"/>
      <c r="O188" s="406"/>
      <c r="P188" s="406"/>
      <c r="Q188" s="406"/>
      <c r="R188" s="406"/>
      <c r="S188" s="406"/>
      <c r="T188" s="406"/>
      <c r="U188" s="406"/>
      <c r="V188" s="406"/>
      <c r="W188" s="406"/>
      <c r="X188" s="406"/>
      <c r="Y188" s="406"/>
      <c r="Z188" s="406"/>
      <c r="AA188" s="406"/>
      <c r="AB188" s="406"/>
      <c r="AC188" s="406"/>
    </row>
    <row r="189" spans="1:29" ht="15.75">
      <c r="A189" s="25"/>
      <c r="B189" s="25"/>
      <c r="C189" s="403" t="s">
        <v>577</v>
      </c>
      <c r="D189" s="416">
        <f t="shared" ref="D189:D195" si="81">SUM(F189:AC189)/1000</f>
        <v>-41.701449269841454</v>
      </c>
      <c r="F189" s="406">
        <f>F147*F$131</f>
        <v>0</v>
      </c>
      <c r="G189" s="406">
        <f t="shared" ref="G189:AC189" si="82">G147*G$131</f>
        <v>0</v>
      </c>
      <c r="H189" s="406">
        <f t="shared" si="82"/>
        <v>-2070.0466902687031</v>
      </c>
      <c r="I189" s="406">
        <f t="shared" si="82"/>
        <v>-2108.1743644475723</v>
      </c>
      <c r="J189" s="406">
        <f t="shared" si="82"/>
        <v>-2132.5449590613985</v>
      </c>
      <c r="K189" s="406">
        <f t="shared" si="82"/>
        <v>-2144.741785110954</v>
      </c>
      <c r="L189" s="406">
        <f t="shared" si="82"/>
        <v>-2146.2045323353645</v>
      </c>
      <c r="M189" s="406">
        <f t="shared" si="82"/>
        <v>-2138.2409701539236</v>
      </c>
      <c r="N189" s="406">
        <f t="shared" si="82"/>
        <v>-2122.0377513817384</v>
      </c>
      <c r="O189" s="406">
        <f t="shared" si="82"/>
        <v>-2098.670384941684</v>
      </c>
      <c r="P189" s="406">
        <f t="shared" si="82"/>
        <v>-2069.112439031202</v>
      </c>
      <c r="Q189" s="406">
        <f t="shared" si="82"/>
        <v>-2034.2440317751486</v>
      </c>
      <c r="R189" s="406">
        <f t="shared" si="82"/>
        <v>-1994.8596622817381</v>
      </c>
      <c r="S189" s="406">
        <f t="shared" si="82"/>
        <v>-1951.6754311955863</v>
      </c>
      <c r="T189" s="406">
        <f t="shared" si="82"/>
        <v>-1905.3356962898954</v>
      </c>
      <c r="U189" s="406">
        <f t="shared" si="82"/>
        <v>-1856.4192053397769</v>
      </c>
      <c r="V189" s="406">
        <f t="shared" si="82"/>
        <v>-1805.4447454529675</v>
      </c>
      <c r="W189" s="406">
        <f t="shared" si="82"/>
        <v>-1752.8763451865732</v>
      </c>
      <c r="X189" s="406">
        <f t="shared" si="82"/>
        <v>-1699.1280631333175</v>
      </c>
      <c r="Y189" s="406">
        <f t="shared" si="82"/>
        <v>-1644.5683942043299</v>
      </c>
      <c r="Z189" s="406">
        <f t="shared" si="82"/>
        <v>-1589.5243225541033</v>
      </c>
      <c r="AA189" s="406">
        <f t="shared" si="82"/>
        <v>-1534.2850479749588</v>
      </c>
      <c r="AB189" s="406">
        <f t="shared" si="82"/>
        <v>-1479.1054106214508</v>
      </c>
      <c r="AC189" s="406">
        <f t="shared" si="82"/>
        <v>-1424.209037099052</v>
      </c>
    </row>
    <row r="190" spans="1:29" ht="15.75">
      <c r="A190" s="25"/>
      <c r="B190" s="25"/>
      <c r="C190" s="403" t="s">
        <v>578</v>
      </c>
      <c r="D190" s="416">
        <f t="shared" si="81"/>
        <v>264.07667398893534</v>
      </c>
      <c r="F190" s="406">
        <f t="shared" ref="F190:AC190" si="83">F148*F$131</f>
        <v>0</v>
      </c>
      <c r="G190" s="406">
        <f t="shared" si="83"/>
        <v>0</v>
      </c>
      <c r="H190" s="406">
        <f t="shared" si="83"/>
        <v>11831.149199829088</v>
      </c>
      <c r="I190" s="406">
        <f t="shared" si="83"/>
        <v>12162.863663375698</v>
      </c>
      <c r="J190" s="406">
        <f t="shared" si="83"/>
        <v>12421.20826115343</v>
      </c>
      <c r="K190" s="406">
        <f t="shared" si="83"/>
        <v>12613.397326416114</v>
      </c>
      <c r="L190" s="406">
        <f t="shared" si="83"/>
        <v>12746.060402602232</v>
      </c>
      <c r="M190" s="406">
        <f t="shared" si="83"/>
        <v>12825.285772766203</v>
      </c>
      <c r="N190" s="406">
        <f t="shared" si="83"/>
        <v>12856.660894927596</v>
      </c>
      <c r="O190" s="406">
        <f t="shared" si="83"/>
        <v>12845.309957266976</v>
      </c>
      <c r="P190" s="406">
        <f t="shared" si="83"/>
        <v>12795.928752564163</v>
      </c>
      <c r="Q190" s="406">
        <f t="shared" si="83"/>
        <v>12712.817057716709</v>
      </c>
      <c r="R190" s="406">
        <f t="shared" si="83"/>
        <v>12599.908691530653</v>
      </c>
      <c r="S190" s="406">
        <f t="shared" si="83"/>
        <v>12460.799412178623</v>
      </c>
      <c r="T190" s="406">
        <f t="shared" si="83"/>
        <v>12298.772804717988</v>
      </c>
      <c r="U190" s="406">
        <f t="shared" si="83"/>
        <v>12116.824298799243</v>
      </c>
      <c r="V190" s="406">
        <f t="shared" si="83"/>
        <v>11917.683447124062</v>
      </c>
      <c r="W190" s="406">
        <f t="shared" si="83"/>
        <v>11703.834586285899</v>
      </c>
      <c r="X190" s="406">
        <f t="shared" si="83"/>
        <v>11477.535993302288</v>
      </c>
      <c r="Y190" s="406">
        <f t="shared" si="83"/>
        <v>11240.83764338541</v>
      </c>
      <c r="Z190" s="406">
        <f t="shared" si="83"/>
        <v>10995.597667259051</v>
      </c>
      <c r="AA190" s="406">
        <f t="shared" si="83"/>
        <v>10743.497599581264</v>
      </c>
      <c r="AB190" s="406">
        <f t="shared" si="83"/>
        <v>10486.05650373895</v>
      </c>
      <c r="AC190" s="406">
        <f t="shared" si="83"/>
        <v>10224.644052413722</v>
      </c>
    </row>
    <row r="191" spans="1:29" ht="15.75">
      <c r="A191" s="25"/>
      <c r="B191" s="25"/>
      <c r="C191" s="403" t="s">
        <v>199</v>
      </c>
      <c r="D191" s="416">
        <f t="shared" si="81"/>
        <v>12.801365755474457</v>
      </c>
      <c r="F191" s="406">
        <f t="shared" ref="F191:AC191" si="84">F149*F$131</f>
        <v>0</v>
      </c>
      <c r="G191" s="406">
        <f t="shared" si="84"/>
        <v>0</v>
      </c>
      <c r="H191" s="406">
        <f t="shared" si="84"/>
        <v>568.21715024709135</v>
      </c>
      <c r="I191" s="406">
        <f t="shared" si="84"/>
        <v>584.67244637641636</v>
      </c>
      <c r="J191" s="406">
        <f t="shared" si="84"/>
        <v>597.62819903277534</v>
      </c>
      <c r="K191" s="406">
        <f t="shared" si="84"/>
        <v>607.42244388740198</v>
      </c>
      <c r="L191" s="406">
        <f t="shared" si="84"/>
        <v>614.36621770708155</v>
      </c>
      <c r="M191" s="406">
        <f t="shared" si="84"/>
        <v>618.74554145732873</v>
      </c>
      <c r="N191" s="406">
        <f t="shared" si="84"/>
        <v>620.82326417035415</v>
      </c>
      <c r="O191" s="406">
        <f t="shared" si="84"/>
        <v>620.84077709453345</v>
      </c>
      <c r="P191" s="406">
        <f t="shared" si="84"/>
        <v>619.01960700255609</v>
      </c>
      <c r="Q191" s="406">
        <f t="shared" si="84"/>
        <v>615.56289693837562</v>
      </c>
      <c r="R191" s="406">
        <f t="shared" si="84"/>
        <v>610.65678212577814</v>
      </c>
      <c r="S191" s="406">
        <f t="shared" si="84"/>
        <v>604.47166824109638</v>
      </c>
      <c r="T191" s="406">
        <f t="shared" si="84"/>
        <v>597.1634187670021</v>
      </c>
      <c r="U191" s="406">
        <f t="shared" si="84"/>
        <v>588.87445769101873</v>
      </c>
      <c r="V191" s="406">
        <f t="shared" si="84"/>
        <v>579.73479338934624</v>
      </c>
      <c r="W191" s="406">
        <f t="shared" si="84"/>
        <v>569.86296914171646</v>
      </c>
      <c r="X191" s="406">
        <f t="shared" si="84"/>
        <v>559.36694535450681</v>
      </c>
      <c r="Y191" s="406">
        <f t="shared" si="84"/>
        <v>548.34491822543418</v>
      </c>
      <c r="Z191" s="406">
        <f t="shared" si="84"/>
        <v>536.8860792622105</v>
      </c>
      <c r="AA191" s="406">
        <f t="shared" si="84"/>
        <v>525.07131976809399</v>
      </c>
      <c r="AB191" s="406">
        <f t="shared" si="84"/>
        <v>512.9738841278014</v>
      </c>
      <c r="AC191" s="406">
        <f t="shared" si="84"/>
        <v>500.65997546653671</v>
      </c>
    </row>
    <row r="192" spans="1:29" ht="15.75">
      <c r="A192" s="25"/>
      <c r="B192" s="25"/>
      <c r="C192" s="403" t="s">
        <v>200</v>
      </c>
      <c r="D192" s="416">
        <f t="shared" si="81"/>
        <v>40.892833073497862</v>
      </c>
      <c r="F192" s="406">
        <f t="shared" ref="F192:AC192" si="85">F150*F$131</f>
        <v>0</v>
      </c>
      <c r="G192" s="406">
        <f t="shared" si="85"/>
        <v>0</v>
      </c>
      <c r="H192" s="406">
        <f t="shared" si="85"/>
        <v>1832.0785474469058</v>
      </c>
      <c r="I192" s="406">
        <f t="shared" si="85"/>
        <v>1883.4452356930806</v>
      </c>
      <c r="J192" s="406">
        <f t="shared" si="85"/>
        <v>1923.4504446075466</v>
      </c>
      <c r="K192" s="406">
        <f t="shared" si="85"/>
        <v>1953.2113289962524</v>
      </c>
      <c r="L192" s="406">
        <f t="shared" si="85"/>
        <v>1973.7544877218991</v>
      </c>
      <c r="M192" s="406">
        <f t="shared" si="85"/>
        <v>1986.0227043287061</v>
      </c>
      <c r="N192" s="406">
        <f t="shared" si="85"/>
        <v>1990.8812085419947</v>
      </c>
      <c r="O192" s="406">
        <f t="shared" si="85"/>
        <v>1989.1234917699221</v>
      </c>
      <c r="P192" s="406">
        <f t="shared" si="85"/>
        <v>1981.4767074842155</v>
      </c>
      <c r="Q192" s="406">
        <f t="shared" si="85"/>
        <v>1968.606685257281</v>
      </c>
      <c r="R192" s="406">
        <f t="shared" si="85"/>
        <v>1951.1225852748601</v>
      </c>
      <c r="S192" s="406">
        <f t="shared" si="85"/>
        <v>1929.5812183165824</v>
      </c>
      <c r="T192" s="406">
        <f t="shared" si="85"/>
        <v>1904.4910544930613</v>
      </c>
      <c r="U192" s="406">
        <f t="shared" si="85"/>
        <v>1876.3159424389794</v>
      </c>
      <c r="V192" s="406">
        <f t="shared" si="85"/>
        <v>1845.478559179568</v>
      </c>
      <c r="W192" s="406">
        <f t="shared" si="85"/>
        <v>1812.363609505599</v>
      </c>
      <c r="X192" s="406">
        <f t="shared" si="85"/>
        <v>1777.3207924030405</v>
      </c>
      <c r="Y192" s="406">
        <f t="shared" si="85"/>
        <v>1740.6675508814938</v>
      </c>
      <c r="Z192" s="406">
        <f t="shared" si="85"/>
        <v>1702.6916204246295</v>
      </c>
      <c r="AA192" s="406">
        <f t="shared" si="85"/>
        <v>1663.6533902407807</v>
      </c>
      <c r="AB192" s="406">
        <f t="shared" si="85"/>
        <v>1623.7880905173402</v>
      </c>
      <c r="AC192" s="406">
        <f t="shared" si="85"/>
        <v>1583.3078179741306</v>
      </c>
    </row>
    <row r="193" spans="1:29" ht="15.75">
      <c r="A193" s="25"/>
      <c r="B193" s="25"/>
      <c r="C193" s="403" t="s">
        <v>201</v>
      </c>
      <c r="D193" s="416">
        <f t="shared" si="81"/>
        <v>192.77722398539359</v>
      </c>
      <c r="F193" s="406">
        <f t="shared" ref="F193:AC193" si="86">F151*F$131</f>
        <v>0</v>
      </c>
      <c r="G193" s="406">
        <f t="shared" si="86"/>
        <v>0</v>
      </c>
      <c r="H193" s="406">
        <f t="shared" si="86"/>
        <v>11780.032751134891</v>
      </c>
      <c r="I193" s="406">
        <f t="shared" si="86"/>
        <v>11562.883193803389</v>
      </c>
      <c r="J193" s="406">
        <f t="shared" si="86"/>
        <v>11254.484356648269</v>
      </c>
      <c r="K193" s="406">
        <f t="shared" si="86"/>
        <v>10870.966430781977</v>
      </c>
      <c r="L193" s="406">
        <f t="shared" si="86"/>
        <v>10426.182531824556</v>
      </c>
      <c r="M193" s="406">
        <f t="shared" si="86"/>
        <v>9932.6484636468595</v>
      </c>
      <c r="N193" s="406">
        <f t="shared" si="86"/>
        <v>9507.1680716277151</v>
      </c>
      <c r="O193" s="406">
        <f t="shared" si="86"/>
        <v>9048.9775768755499</v>
      </c>
      <c r="P193" s="406">
        <f t="shared" si="86"/>
        <v>8932.3285106216244</v>
      </c>
      <c r="Q193" s="406">
        <f t="shared" si="86"/>
        <v>8791.3219081430962</v>
      </c>
      <c r="R193" s="406">
        <f t="shared" si="86"/>
        <v>8632.1483397254215</v>
      </c>
      <c r="S193" s="406">
        <f t="shared" si="86"/>
        <v>8455.0562962232179</v>
      </c>
      <c r="T193" s="406">
        <f t="shared" si="86"/>
        <v>8265.4861636809019</v>
      </c>
      <c r="U193" s="406">
        <f t="shared" si="86"/>
        <v>8063.2430665883439</v>
      </c>
      <c r="V193" s="406">
        <f t="shared" si="86"/>
        <v>7853.1012028660143</v>
      </c>
      <c r="W193" s="406">
        <f t="shared" si="86"/>
        <v>7634.5313835603947</v>
      </c>
      <c r="X193" s="406">
        <f t="shared" si="86"/>
        <v>7410.5644863285897</v>
      </c>
      <c r="Y193" s="406">
        <f t="shared" si="86"/>
        <v>7183.9929467968332</v>
      </c>
      <c r="Z193" s="406">
        <f t="shared" si="86"/>
        <v>7031.2872730407162</v>
      </c>
      <c r="AA193" s="406">
        <f t="shared" si="86"/>
        <v>6875.0783598000316</v>
      </c>
      <c r="AB193" s="406">
        <f t="shared" si="86"/>
        <v>6714.1793111244442</v>
      </c>
      <c r="AC193" s="406">
        <f t="shared" si="86"/>
        <v>6551.5613605507424</v>
      </c>
    </row>
    <row r="194" spans="1:29" ht="15.75">
      <c r="A194" s="25"/>
      <c r="B194" s="25"/>
      <c r="C194" s="403" t="s">
        <v>579</v>
      </c>
      <c r="D194" s="416">
        <f t="shared" si="81"/>
        <v>0.34699840796443954</v>
      </c>
      <c r="F194" s="406">
        <f t="shared" ref="F194:AC194" si="87">F152*F$131</f>
        <v>0</v>
      </c>
      <c r="G194" s="406">
        <f t="shared" si="87"/>
        <v>0</v>
      </c>
      <c r="H194" s="406">
        <f t="shared" si="87"/>
        <v>15.546204345569954</v>
      </c>
      <c r="I194" s="406">
        <f t="shared" si="87"/>
        <v>15.982079233763502</v>
      </c>
      <c r="J194" s="406">
        <f t="shared" si="87"/>
        <v>16.321545657590256</v>
      </c>
      <c r="K194" s="406">
        <f t="shared" si="87"/>
        <v>16.574083296250151</v>
      </c>
      <c r="L194" s="406">
        <f t="shared" si="87"/>
        <v>16.748403411453424</v>
      </c>
      <c r="M194" s="406">
        <f t="shared" si="87"/>
        <v>16.852506045366646</v>
      </c>
      <c r="N194" s="406">
        <f t="shared" si="87"/>
        <v>16.89373315291553</v>
      </c>
      <c r="O194" s="406">
        <f t="shared" si="87"/>
        <v>16.878817949548104</v>
      </c>
      <c r="P194" s="406">
        <f t="shared" si="87"/>
        <v>16.813930736465586</v>
      </c>
      <c r="Q194" s="406">
        <f t="shared" si="87"/>
        <v>16.704721447513009</v>
      </c>
      <c r="R194" s="406">
        <f t="shared" si="87"/>
        <v>16.55635914530502</v>
      </c>
      <c r="S194" s="406">
        <f t="shared" si="87"/>
        <v>16.373568678661012</v>
      </c>
      <c r="T194" s="406">
        <f t="shared" si="87"/>
        <v>16.160664698966556</v>
      </c>
      <c r="U194" s="406">
        <f t="shared" si="87"/>
        <v>15.921583219593041</v>
      </c>
      <c r="V194" s="406">
        <f t="shared" si="87"/>
        <v>15.659910889931444</v>
      </c>
      <c r="W194" s="406">
        <f t="shared" si="87"/>
        <v>15.378912143866652</v>
      </c>
      <c r="X194" s="406">
        <f t="shared" si="87"/>
        <v>15.081554371581184</v>
      </c>
      <c r="Y194" s="406">
        <f t="shared" si="87"/>
        <v>14.770531253377234</v>
      </c>
      <c r="Z194" s="406">
        <f t="shared" si="87"/>
        <v>14.448284384694507</v>
      </c>
      <c r="AA194" s="406">
        <f t="shared" si="87"/>
        <v>14.11702331263335</v>
      </c>
      <c r="AB194" s="406">
        <f t="shared" si="87"/>
        <v>13.778744096023528</v>
      </c>
      <c r="AC194" s="406">
        <f t="shared" si="87"/>
        <v>13.435246493369929</v>
      </c>
    </row>
    <row r="195" spans="1:29" ht="15.75">
      <c r="A195" s="25"/>
      <c r="B195" s="25"/>
      <c r="C195" s="403" t="s">
        <v>202</v>
      </c>
      <c r="D195" s="416">
        <f t="shared" si="81"/>
        <v>224.89931539092754</v>
      </c>
      <c r="F195" s="406">
        <f t="shared" ref="F195:AC195" si="88">F153*F$131</f>
        <v>0</v>
      </c>
      <c r="G195" s="406">
        <f t="shared" si="88"/>
        <v>0</v>
      </c>
      <c r="H195" s="406">
        <f t="shared" si="88"/>
        <v>10075.927249223721</v>
      </c>
      <c r="I195" s="406">
        <f t="shared" si="88"/>
        <v>10358.429882379525</v>
      </c>
      <c r="J195" s="406">
        <f t="shared" si="88"/>
        <v>10578.447509447906</v>
      </c>
      <c r="K195" s="406">
        <f t="shared" si="88"/>
        <v>10742.124174070743</v>
      </c>
      <c r="L195" s="406">
        <f t="shared" si="88"/>
        <v>10855.105887151398</v>
      </c>
      <c r="M195" s="406">
        <f t="shared" si="88"/>
        <v>10922.577698433817</v>
      </c>
      <c r="N195" s="406">
        <f t="shared" si="88"/>
        <v>10949.298133025097</v>
      </c>
      <c r="O195" s="406">
        <f t="shared" si="88"/>
        <v>10939.631175052788</v>
      </c>
      <c r="P195" s="406">
        <f t="shared" si="88"/>
        <v>10897.575968271036</v>
      </c>
      <c r="Q195" s="406">
        <f t="shared" si="88"/>
        <v>10826.794391883279</v>
      </c>
      <c r="R195" s="406">
        <f t="shared" si="88"/>
        <v>10730.636659079451</v>
      </c>
      <c r="S195" s="406">
        <f t="shared" si="88"/>
        <v>10612.165075738818</v>
      </c>
      <c r="T195" s="406">
        <f t="shared" si="88"/>
        <v>10474.176087379557</v>
      </c>
      <c r="U195" s="406">
        <f t="shared" si="88"/>
        <v>10319.220733696022</v>
      </c>
      <c r="V195" s="406">
        <f t="shared" si="88"/>
        <v>10149.623621873901</v>
      </c>
      <c r="W195" s="406">
        <f t="shared" si="88"/>
        <v>9967.5005222712152</v>
      </c>
      <c r="X195" s="406">
        <f t="shared" si="88"/>
        <v>9774.7746829641201</v>
      </c>
      <c r="Y195" s="406">
        <f t="shared" si="88"/>
        <v>9573.1919530456926</v>
      </c>
      <c r="Z195" s="406">
        <f t="shared" si="88"/>
        <v>9364.334798401218</v>
      </c>
      <c r="AA195" s="406">
        <f t="shared" si="88"/>
        <v>9149.6352879358728</v>
      </c>
      <c r="AB195" s="406">
        <f t="shared" si="88"/>
        <v>8930.3871228713106</v>
      </c>
      <c r="AC195" s="406">
        <f t="shared" si="88"/>
        <v>8707.7567767311175</v>
      </c>
    </row>
    <row r="196" spans="1:29" ht="15.75">
      <c r="A196" s="25"/>
      <c r="B196" s="25"/>
      <c r="C196" s="402"/>
      <c r="D196" s="417"/>
      <c r="F196" s="413">
        <f>SUM(F189:F195)</f>
        <v>0</v>
      </c>
      <c r="G196" s="413">
        <f t="shared" ref="G196:AC196" si="89">SUM(G189:G195)</f>
        <v>0</v>
      </c>
      <c r="H196" s="413">
        <f t="shared" si="89"/>
        <v>34032.90441195856</v>
      </c>
      <c r="I196" s="413">
        <f t="shared" si="89"/>
        <v>34460.102136414302</v>
      </c>
      <c r="J196" s="413">
        <f t="shared" si="89"/>
        <v>34658.995357486114</v>
      </c>
      <c r="K196" s="413">
        <f t="shared" si="89"/>
        <v>34658.954002337785</v>
      </c>
      <c r="L196" s="413">
        <f t="shared" si="89"/>
        <v>34486.013398083254</v>
      </c>
      <c r="M196" s="413">
        <f t="shared" si="89"/>
        <v>34163.891716524355</v>
      </c>
      <c r="N196" s="413">
        <f t="shared" si="89"/>
        <v>33819.687554063938</v>
      </c>
      <c r="O196" s="413">
        <f t="shared" si="89"/>
        <v>33362.091411067631</v>
      </c>
      <c r="P196" s="413">
        <f t="shared" si="89"/>
        <v>33174.031037648856</v>
      </c>
      <c r="Q196" s="413">
        <f t="shared" si="89"/>
        <v>32897.563629611104</v>
      </c>
      <c r="R196" s="413">
        <f t="shared" si="89"/>
        <v>32546.16975459973</v>
      </c>
      <c r="S196" s="413">
        <f t="shared" si="89"/>
        <v>32126.771808181409</v>
      </c>
      <c r="T196" s="413">
        <f t="shared" si="89"/>
        <v>31650.914497447582</v>
      </c>
      <c r="U196" s="413">
        <f t="shared" si="89"/>
        <v>31123.980877093425</v>
      </c>
      <c r="V196" s="413">
        <f t="shared" si="89"/>
        <v>30555.836789869856</v>
      </c>
      <c r="W196" s="413">
        <f t="shared" si="89"/>
        <v>29950.595637722123</v>
      </c>
      <c r="X196" s="413">
        <f t="shared" si="89"/>
        <v>29315.516391590805</v>
      </c>
      <c r="Y196" s="413">
        <f t="shared" si="89"/>
        <v>28657.237149383909</v>
      </c>
      <c r="Z196" s="413">
        <f t="shared" si="89"/>
        <v>28055.721400218419</v>
      </c>
      <c r="AA196" s="413">
        <f t="shared" si="89"/>
        <v>27436.767932663715</v>
      </c>
      <c r="AB196" s="413">
        <f t="shared" si="89"/>
        <v>26802.05824585442</v>
      </c>
      <c r="AC196" s="413">
        <f t="shared" si="89"/>
        <v>26157.156192530565</v>
      </c>
    </row>
    <row r="197" spans="1:29" ht="15.75">
      <c r="A197" s="25"/>
      <c r="B197" s="25"/>
      <c r="C197" s="401" t="s">
        <v>182</v>
      </c>
      <c r="D197" s="418">
        <f>NPV(0.07,F156:AC156)/1000</f>
        <v>285.1700657323222</v>
      </c>
    </row>
    <row r="198" spans="1:29" ht="15.75">
      <c r="A198" s="25"/>
      <c r="B198" s="25"/>
      <c r="C198" s="401" t="s">
        <v>183</v>
      </c>
      <c r="D198" s="419">
        <f>IRR(F198:AC198)</f>
        <v>8.3536166236773346E-2</v>
      </c>
      <c r="F198" s="406">
        <f>F187+F196</f>
        <v>0</v>
      </c>
      <c r="G198" s="406">
        <f t="shared" ref="G198:AC198" si="90">G187+G196</f>
        <v>-240737.18228666257</v>
      </c>
      <c r="H198" s="406">
        <f t="shared" si="90"/>
        <v>18550.107831567613</v>
      </c>
      <c r="I198" s="406">
        <f t="shared" si="90"/>
        <v>25583.205472413127</v>
      </c>
      <c r="J198" s="406">
        <f t="shared" si="90"/>
        <v>25891.059174138962</v>
      </c>
      <c r="K198" s="406">
        <f t="shared" si="90"/>
        <v>26014.895421321682</v>
      </c>
      <c r="L198" s="406">
        <f t="shared" si="90"/>
        <v>25978.743496786978</v>
      </c>
      <c r="M198" s="406">
        <f t="shared" si="90"/>
        <v>25804.494902806691</v>
      </c>
      <c r="N198" s="406">
        <f t="shared" si="90"/>
        <v>25617.58695676535</v>
      </c>
      <c r="O198" s="406">
        <f t="shared" si="90"/>
        <v>25325.201306246992</v>
      </c>
      <c r="P198" s="406">
        <f t="shared" si="90"/>
        <v>25308.897258877983</v>
      </c>
      <c r="Q198" s="406">
        <f t="shared" si="90"/>
        <v>25209.492843936976</v>
      </c>
      <c r="R198" s="406">
        <f t="shared" si="90"/>
        <v>25039.34842364526</v>
      </c>
      <c r="S198" s="406">
        <f t="shared" si="90"/>
        <v>24804.375595990496</v>
      </c>
      <c r="T198" s="406">
        <f t="shared" si="90"/>
        <v>24515.208832799239</v>
      </c>
      <c r="U198" s="406">
        <f t="shared" si="90"/>
        <v>24176.413327843544</v>
      </c>
      <c r="V198" s="406">
        <f t="shared" si="90"/>
        <v>23797.121860175223</v>
      </c>
      <c r="W198" s="406">
        <f t="shared" si="90"/>
        <v>23380.792555525331</v>
      </c>
      <c r="X198" s="406">
        <f t="shared" si="90"/>
        <v>22934.100413276879</v>
      </c>
      <c r="Y198" s="406">
        <f t="shared" si="90"/>
        <v>22463.164870855657</v>
      </c>
      <c r="Z198" s="406">
        <f t="shared" si="90"/>
        <v>22047.490528587048</v>
      </c>
      <c r="AA198" s="406">
        <f t="shared" si="90"/>
        <v>21612.471940135783</v>
      </c>
      <c r="AB198" s="406">
        <f t="shared" si="90"/>
        <v>21159.436297050266</v>
      </c>
      <c r="AC198" s="406">
        <f t="shared" si="90"/>
        <v>20693.638708237784</v>
      </c>
    </row>
    <row r="199" spans="1:29" ht="15.75">
      <c r="A199" s="25"/>
      <c r="B199" s="25"/>
      <c r="C199" s="401" t="s">
        <v>184</v>
      </c>
      <c r="D199" s="420">
        <f>SUM(D189:D195)/SUM(D183:D186)</f>
        <v>1.6973687920161091</v>
      </c>
    </row>
    <row r="200" spans="1:29">
      <c r="A200" s="25"/>
      <c r="B200" s="25"/>
    </row>
  </sheetData>
  <pageMargins left="0.19" right="0.17" top="0.75" bottom="0.75" header="0.3" footer="0.3"/>
  <pageSetup paperSize="5" scale="37" fitToHeight="2" orientation="landscape" r:id="rId1"/>
</worksheet>
</file>

<file path=xl/worksheets/sheet15.xml><?xml version="1.0" encoding="utf-8"?>
<worksheet xmlns="http://schemas.openxmlformats.org/spreadsheetml/2006/main" xmlns:r="http://schemas.openxmlformats.org/officeDocument/2006/relationships">
  <dimension ref="A2:AL64"/>
  <sheetViews>
    <sheetView zoomScale="75" zoomScaleNormal="75" workbookViewId="0"/>
  </sheetViews>
  <sheetFormatPr defaultRowHeight="12.75"/>
  <cols>
    <col min="2" max="2" width="42" customWidth="1"/>
    <col min="3" max="3" width="15.7109375" customWidth="1"/>
    <col min="4" max="4" width="27.5703125" customWidth="1"/>
    <col min="5" max="5" width="15.7109375" customWidth="1"/>
    <col min="6" max="8" width="16" customWidth="1"/>
    <col min="9" max="14" width="15.42578125" customWidth="1"/>
    <col min="16" max="27" width="10.140625" customWidth="1"/>
  </cols>
  <sheetData>
    <row r="2" spans="1:27">
      <c r="A2" s="3" t="s">
        <v>390</v>
      </c>
      <c r="D2" s="75">
        <v>2013</v>
      </c>
      <c r="E2" s="75">
        <v>2014</v>
      </c>
      <c r="F2" s="75">
        <v>2015</v>
      </c>
      <c r="G2" s="75">
        <v>2016</v>
      </c>
      <c r="H2" s="75">
        <v>2017</v>
      </c>
      <c r="I2" s="75">
        <v>2018</v>
      </c>
      <c r="J2" s="75">
        <v>2019</v>
      </c>
      <c r="K2" s="75">
        <v>2020</v>
      </c>
      <c r="L2" s="75">
        <v>2021</v>
      </c>
      <c r="M2" s="75">
        <v>2022</v>
      </c>
      <c r="N2" s="75">
        <v>2023</v>
      </c>
      <c r="O2" s="75">
        <v>2024</v>
      </c>
      <c r="P2" s="75">
        <v>2025</v>
      </c>
      <c r="Q2" s="75">
        <v>2026</v>
      </c>
      <c r="R2" s="75">
        <v>2027</v>
      </c>
      <c r="S2" s="75">
        <v>2028</v>
      </c>
      <c r="T2" s="75">
        <v>2029</v>
      </c>
      <c r="U2" s="75">
        <v>2030</v>
      </c>
      <c r="V2" s="75">
        <v>2031</v>
      </c>
      <c r="W2" s="75">
        <v>2032</v>
      </c>
      <c r="X2" s="75">
        <v>2033</v>
      </c>
      <c r="Y2" s="75">
        <v>2034</v>
      </c>
      <c r="Z2" s="75">
        <v>2035</v>
      </c>
      <c r="AA2" s="75">
        <v>2036</v>
      </c>
    </row>
    <row r="3" spans="1:27">
      <c r="D3" s="75" t="s">
        <v>18</v>
      </c>
      <c r="E3" s="72" t="s">
        <v>19</v>
      </c>
      <c r="F3" s="72" t="s">
        <v>20</v>
      </c>
      <c r="G3" s="72" t="s">
        <v>21</v>
      </c>
      <c r="H3" s="72" t="s">
        <v>22</v>
      </c>
      <c r="I3" s="72" t="s">
        <v>23</v>
      </c>
      <c r="J3" s="72" t="s">
        <v>24</v>
      </c>
      <c r="K3" s="72" t="s">
        <v>25</v>
      </c>
      <c r="L3" s="72" t="s">
        <v>26</v>
      </c>
      <c r="M3" s="72" t="s">
        <v>27</v>
      </c>
      <c r="N3" s="72" t="s">
        <v>28</v>
      </c>
      <c r="O3" s="72" t="s">
        <v>29</v>
      </c>
      <c r="P3" s="72" t="s">
        <v>30</v>
      </c>
      <c r="Q3" s="72" t="s">
        <v>31</v>
      </c>
      <c r="R3" s="72" t="s">
        <v>32</v>
      </c>
      <c r="S3" s="72" t="s">
        <v>33</v>
      </c>
      <c r="T3" s="72" t="s">
        <v>34</v>
      </c>
      <c r="U3" s="72" t="s">
        <v>35</v>
      </c>
      <c r="V3" s="72" t="s">
        <v>36</v>
      </c>
      <c r="W3" s="72" t="s">
        <v>123</v>
      </c>
      <c r="X3" s="72" t="s">
        <v>242</v>
      </c>
      <c r="Y3" s="72" t="s">
        <v>243</v>
      </c>
      <c r="Z3" s="72" t="s">
        <v>244</v>
      </c>
      <c r="AA3" s="72" t="s">
        <v>245</v>
      </c>
    </row>
    <row r="4" spans="1:27">
      <c r="A4" s="70"/>
      <c r="B4" s="53"/>
    </row>
    <row r="5" spans="1:27">
      <c r="A5" s="58"/>
      <c r="B5" s="70"/>
    </row>
    <row r="6" spans="1:27">
      <c r="A6" s="5" t="s">
        <v>261</v>
      </c>
      <c r="B6" s="53"/>
    </row>
    <row r="7" spans="1:27">
      <c r="A7" s="70" t="s">
        <v>350</v>
      </c>
      <c r="B7" s="70" t="s">
        <v>350</v>
      </c>
      <c r="C7">
        <v>0.8</v>
      </c>
      <c r="E7">
        <f>D108</f>
        <v>0</v>
      </c>
      <c r="F7">
        <f>C7*F14</f>
        <v>7000</v>
      </c>
      <c r="G7">
        <f>$F$7</f>
        <v>7000</v>
      </c>
      <c r="H7">
        <f t="shared" ref="H7:AA7" si="0">$F$7</f>
        <v>7000</v>
      </c>
      <c r="I7">
        <f t="shared" si="0"/>
        <v>7000</v>
      </c>
      <c r="J7">
        <f t="shared" si="0"/>
        <v>7000</v>
      </c>
      <c r="K7">
        <f t="shared" si="0"/>
        <v>7000</v>
      </c>
      <c r="L7">
        <f t="shared" si="0"/>
        <v>7000</v>
      </c>
      <c r="M7">
        <f t="shared" si="0"/>
        <v>7000</v>
      </c>
      <c r="N7">
        <f t="shared" si="0"/>
        <v>7000</v>
      </c>
      <c r="O7">
        <f t="shared" si="0"/>
        <v>7000</v>
      </c>
      <c r="P7">
        <f t="shared" si="0"/>
        <v>7000</v>
      </c>
      <c r="Q7">
        <f t="shared" si="0"/>
        <v>7000</v>
      </c>
      <c r="R7">
        <f t="shared" si="0"/>
        <v>7000</v>
      </c>
      <c r="S7">
        <f t="shared" si="0"/>
        <v>7000</v>
      </c>
      <c r="T7">
        <f t="shared" si="0"/>
        <v>7000</v>
      </c>
      <c r="U7">
        <f t="shared" si="0"/>
        <v>7000</v>
      </c>
      <c r="V7">
        <f t="shared" si="0"/>
        <v>7000</v>
      </c>
      <c r="W7">
        <f t="shared" si="0"/>
        <v>7000</v>
      </c>
      <c r="X7">
        <f t="shared" si="0"/>
        <v>7000</v>
      </c>
      <c r="Y7">
        <f t="shared" si="0"/>
        <v>7000</v>
      </c>
      <c r="Z7">
        <f t="shared" si="0"/>
        <v>7000</v>
      </c>
      <c r="AA7">
        <f t="shared" si="0"/>
        <v>7000</v>
      </c>
    </row>
    <row r="8" spans="1:27">
      <c r="A8" s="70" t="s">
        <v>399</v>
      </c>
      <c r="B8" s="54" t="s">
        <v>417</v>
      </c>
      <c r="C8" s="89">
        <v>0.95</v>
      </c>
      <c r="E8">
        <f>D109</f>
        <v>0</v>
      </c>
      <c r="F8">
        <f t="shared" ref="F8:AA8" si="1">(F14-F7)*$C$8</f>
        <v>1662.5</v>
      </c>
      <c r="G8">
        <f t="shared" si="1"/>
        <v>1828.75</v>
      </c>
      <c r="H8">
        <f t="shared" si="1"/>
        <v>1998.3249999999998</v>
      </c>
      <c r="I8">
        <f t="shared" si="1"/>
        <v>2171.2914999999998</v>
      </c>
      <c r="J8">
        <f t="shared" si="1"/>
        <v>2347.7173299999999</v>
      </c>
      <c r="K8">
        <f t="shared" si="1"/>
        <v>2527.6716766000004</v>
      </c>
      <c r="L8">
        <f t="shared" si="1"/>
        <v>2711.2251101320021</v>
      </c>
      <c r="M8">
        <f t="shared" si="1"/>
        <v>2898.4496123346403</v>
      </c>
      <c r="N8">
        <f t="shared" si="1"/>
        <v>3089.4186045813349</v>
      </c>
      <c r="O8">
        <f t="shared" si="1"/>
        <v>3284.2069766729619</v>
      </c>
      <c r="P8">
        <f t="shared" si="1"/>
        <v>3482.8911162064205</v>
      </c>
      <c r="Q8">
        <f t="shared" si="1"/>
        <v>3685.5489385305473</v>
      </c>
      <c r="R8">
        <f t="shared" si="1"/>
        <v>3892.2599173011599</v>
      </c>
      <c r="S8">
        <f t="shared" si="1"/>
        <v>4103.1051156471831</v>
      </c>
      <c r="T8">
        <f t="shared" si="1"/>
        <v>4318.1672179601264</v>
      </c>
      <c r="U8">
        <f t="shared" si="1"/>
        <v>4537.5305623193308</v>
      </c>
      <c r="V8">
        <f t="shared" si="1"/>
        <v>4761.281173565716</v>
      </c>
      <c r="W8">
        <f t="shared" si="1"/>
        <v>4989.5067970370319</v>
      </c>
      <c r="X8">
        <f t="shared" si="1"/>
        <v>5222.2969329777725</v>
      </c>
      <c r="Y8">
        <f t="shared" si="1"/>
        <v>5459.7428716373261</v>
      </c>
      <c r="Z8">
        <f t="shared" si="1"/>
        <v>5701.937729070075</v>
      </c>
      <c r="AA8">
        <f t="shared" si="1"/>
        <v>5948.9764836514769</v>
      </c>
    </row>
    <row r="9" spans="1:27">
      <c r="A9" s="70"/>
      <c r="B9" s="78" t="s">
        <v>411</v>
      </c>
      <c r="C9" s="89">
        <v>0.05</v>
      </c>
      <c r="E9">
        <f>D110</f>
        <v>0</v>
      </c>
      <c r="F9">
        <f t="shared" ref="F9:AA9" si="2">(F14-F7)*$C$9</f>
        <v>87.5</v>
      </c>
      <c r="G9">
        <f t="shared" si="2"/>
        <v>96.25</v>
      </c>
      <c r="H9">
        <f t="shared" si="2"/>
        <v>105.17500000000001</v>
      </c>
      <c r="I9">
        <f t="shared" si="2"/>
        <v>114.27849999999999</v>
      </c>
      <c r="J9">
        <f t="shared" si="2"/>
        <v>123.56407</v>
      </c>
      <c r="K9">
        <f t="shared" si="2"/>
        <v>133.03535140000005</v>
      </c>
      <c r="L9">
        <f t="shared" si="2"/>
        <v>142.6960584280001</v>
      </c>
      <c r="M9">
        <f t="shared" si="2"/>
        <v>152.54997959656004</v>
      </c>
      <c r="N9">
        <f t="shared" si="2"/>
        <v>162.60097918849135</v>
      </c>
      <c r="O9">
        <f t="shared" si="2"/>
        <v>172.85299877226117</v>
      </c>
      <c r="P9">
        <f t="shared" si="2"/>
        <v>183.31005874770636</v>
      </c>
      <c r="Q9">
        <f t="shared" si="2"/>
        <v>193.9762599226604</v>
      </c>
      <c r="R9">
        <f t="shared" si="2"/>
        <v>204.85578512111371</v>
      </c>
      <c r="S9">
        <f t="shared" si="2"/>
        <v>215.95290082353597</v>
      </c>
      <c r="T9">
        <f t="shared" si="2"/>
        <v>227.27195884000668</v>
      </c>
      <c r="U9">
        <f t="shared" si="2"/>
        <v>238.81739801680689</v>
      </c>
      <c r="V9">
        <f t="shared" si="2"/>
        <v>250.59374597714296</v>
      </c>
      <c r="W9">
        <f t="shared" si="2"/>
        <v>262.60562089668593</v>
      </c>
      <c r="X9">
        <f t="shared" si="2"/>
        <v>274.85773331461962</v>
      </c>
      <c r="Y9">
        <f t="shared" si="2"/>
        <v>287.35488798091194</v>
      </c>
      <c r="Z9">
        <f t="shared" si="2"/>
        <v>300.10198574053032</v>
      </c>
      <c r="AA9">
        <f t="shared" si="2"/>
        <v>313.10402545534089</v>
      </c>
    </row>
    <row r="11" spans="1:27">
      <c r="A11" s="5"/>
      <c r="B11" s="70" t="s">
        <v>523</v>
      </c>
      <c r="C11">
        <v>70</v>
      </c>
    </row>
    <row r="12" spans="1:27">
      <c r="A12" s="5"/>
      <c r="B12" s="70" t="s">
        <v>524</v>
      </c>
      <c r="C12" s="89">
        <v>0.5</v>
      </c>
      <c r="F12">
        <v>0.5</v>
      </c>
      <c r="G12">
        <f>F12*1.02</f>
        <v>0.51</v>
      </c>
      <c r="H12">
        <f t="shared" ref="H12:AA12" si="3">G12*1.02</f>
        <v>0.5202</v>
      </c>
      <c r="I12">
        <f t="shared" si="3"/>
        <v>0.53060399999999996</v>
      </c>
      <c r="J12">
        <f t="shared" si="3"/>
        <v>0.54121607999999999</v>
      </c>
      <c r="K12">
        <f t="shared" si="3"/>
        <v>0.55204040160000001</v>
      </c>
      <c r="L12">
        <f t="shared" si="3"/>
        <v>0.56308120963200003</v>
      </c>
      <c r="M12">
        <f t="shared" si="3"/>
        <v>0.57434283382464002</v>
      </c>
      <c r="N12">
        <f t="shared" si="3"/>
        <v>0.58582969050113287</v>
      </c>
      <c r="O12">
        <f t="shared" si="3"/>
        <v>0.59754628431115553</v>
      </c>
      <c r="P12">
        <f t="shared" si="3"/>
        <v>0.60949720999737866</v>
      </c>
      <c r="Q12">
        <f t="shared" si="3"/>
        <v>0.62168715419732623</v>
      </c>
      <c r="R12">
        <f t="shared" si="3"/>
        <v>0.63412089728127274</v>
      </c>
      <c r="S12">
        <f t="shared" si="3"/>
        <v>0.64680331522689816</v>
      </c>
      <c r="T12">
        <f t="shared" si="3"/>
        <v>0.65973938153143619</v>
      </c>
      <c r="U12">
        <f t="shared" si="3"/>
        <v>0.67293416916206494</v>
      </c>
      <c r="V12">
        <f t="shared" si="3"/>
        <v>0.68639285254530624</v>
      </c>
      <c r="W12">
        <f t="shared" si="3"/>
        <v>0.70012070959621242</v>
      </c>
      <c r="X12">
        <f t="shared" si="3"/>
        <v>0.71412312378813669</v>
      </c>
      <c r="Y12">
        <f t="shared" si="3"/>
        <v>0.7284055862638994</v>
      </c>
      <c r="Z12">
        <f t="shared" si="3"/>
        <v>0.74297369798917745</v>
      </c>
      <c r="AA12">
        <f t="shared" si="3"/>
        <v>0.75783317194896105</v>
      </c>
    </row>
    <row r="13" spans="1:27">
      <c r="A13" s="70"/>
      <c r="B13" s="26" t="s">
        <v>441</v>
      </c>
      <c r="C13">
        <v>250</v>
      </c>
    </row>
    <row r="14" spans="1:27">
      <c r="A14" s="70"/>
      <c r="B14" s="26"/>
      <c r="D14" s="26" t="s">
        <v>653</v>
      </c>
      <c r="F14">
        <f>$C$11*F12*$C$13</f>
        <v>8750</v>
      </c>
      <c r="G14">
        <f t="shared" ref="G14:AA14" si="4">$C$11*G12*$C$13</f>
        <v>8925</v>
      </c>
      <c r="H14">
        <f t="shared" si="4"/>
        <v>9103.5</v>
      </c>
      <c r="I14">
        <f t="shared" si="4"/>
        <v>9285.57</v>
      </c>
      <c r="J14">
        <f t="shared" si="4"/>
        <v>9471.2813999999998</v>
      </c>
      <c r="K14">
        <f t="shared" si="4"/>
        <v>9660.7070280000007</v>
      </c>
      <c r="L14">
        <f t="shared" si="4"/>
        <v>9853.9211685600021</v>
      </c>
      <c r="M14">
        <f t="shared" si="4"/>
        <v>10050.9995919312</v>
      </c>
      <c r="N14">
        <f t="shared" si="4"/>
        <v>10252.019583769827</v>
      </c>
      <c r="O14">
        <f t="shared" si="4"/>
        <v>10457.059975445223</v>
      </c>
      <c r="P14">
        <f t="shared" si="4"/>
        <v>10666.201174954127</v>
      </c>
      <c r="Q14">
        <f t="shared" si="4"/>
        <v>10879.525198453208</v>
      </c>
      <c r="R14">
        <f t="shared" si="4"/>
        <v>11097.115702422274</v>
      </c>
      <c r="S14">
        <f t="shared" si="4"/>
        <v>11319.058016470719</v>
      </c>
      <c r="T14">
        <f t="shared" si="4"/>
        <v>11545.439176800133</v>
      </c>
      <c r="U14">
        <f t="shared" si="4"/>
        <v>11776.347960336137</v>
      </c>
      <c r="V14">
        <f t="shared" si="4"/>
        <v>12011.874919542859</v>
      </c>
      <c r="W14">
        <f t="shared" si="4"/>
        <v>12252.112417933718</v>
      </c>
      <c r="X14">
        <f t="shared" si="4"/>
        <v>12497.154666292392</v>
      </c>
      <c r="Y14">
        <f t="shared" si="4"/>
        <v>12747.097759618238</v>
      </c>
      <c r="Z14">
        <f t="shared" si="4"/>
        <v>13002.039714810606</v>
      </c>
      <c r="AA14">
        <f t="shared" si="4"/>
        <v>13262.080509106818</v>
      </c>
    </row>
    <row r="15" spans="1:27">
      <c r="A15" s="70"/>
      <c r="B15" s="26"/>
    </row>
    <row r="16" spans="1:27">
      <c r="A16" s="70"/>
      <c r="B16" s="58" t="s">
        <v>420</v>
      </c>
    </row>
    <row r="17" spans="1:29">
      <c r="B17" s="78" t="s">
        <v>488</v>
      </c>
      <c r="C17" s="278"/>
      <c r="D17" s="278"/>
      <c r="E17" s="278"/>
      <c r="F17" s="278">
        <f>F8+F9</f>
        <v>1750</v>
      </c>
      <c r="G17" s="278">
        <f t="shared" ref="G17:AA17" si="5">G8+G9</f>
        <v>1925</v>
      </c>
      <c r="H17" s="278">
        <f t="shared" si="5"/>
        <v>2103.5</v>
      </c>
      <c r="I17" s="278">
        <f t="shared" si="5"/>
        <v>2285.5699999999997</v>
      </c>
      <c r="J17" s="278">
        <f t="shared" si="5"/>
        <v>2471.2813999999998</v>
      </c>
      <c r="K17" s="278">
        <f t="shared" si="5"/>
        <v>2660.7070280000003</v>
      </c>
      <c r="L17" s="278">
        <f t="shared" si="5"/>
        <v>2853.9211685600021</v>
      </c>
      <c r="M17" s="278">
        <f t="shared" si="5"/>
        <v>3050.9995919312005</v>
      </c>
      <c r="N17" s="278">
        <f t="shared" si="5"/>
        <v>3252.0195837698261</v>
      </c>
      <c r="O17" s="278">
        <f t="shared" si="5"/>
        <v>3457.0599754452232</v>
      </c>
      <c r="P17" s="278">
        <f t="shared" si="5"/>
        <v>3666.2011749541271</v>
      </c>
      <c r="Q17" s="278">
        <f t="shared" si="5"/>
        <v>3879.5251984532078</v>
      </c>
      <c r="R17" s="278">
        <f t="shared" si="5"/>
        <v>4097.1157024222739</v>
      </c>
      <c r="S17" s="278">
        <f t="shared" si="5"/>
        <v>4319.0580164707189</v>
      </c>
      <c r="T17" s="278">
        <f t="shared" si="5"/>
        <v>4545.4391768001333</v>
      </c>
      <c r="U17" s="278">
        <f t="shared" si="5"/>
        <v>4776.3479603361375</v>
      </c>
      <c r="V17" s="278">
        <f t="shared" si="5"/>
        <v>5011.8749195428591</v>
      </c>
      <c r="W17" s="278">
        <f t="shared" si="5"/>
        <v>5252.1124179337176</v>
      </c>
      <c r="X17" s="278">
        <f t="shared" si="5"/>
        <v>5497.154666292392</v>
      </c>
      <c r="Y17" s="278">
        <f t="shared" si="5"/>
        <v>5747.0977596182383</v>
      </c>
      <c r="Z17" s="278">
        <f t="shared" si="5"/>
        <v>6002.0397148106049</v>
      </c>
      <c r="AA17" s="278">
        <f t="shared" si="5"/>
        <v>6262.0805091068178</v>
      </c>
    </row>
    <row r="18" spans="1:29">
      <c r="B18" s="78" t="s">
        <v>489</v>
      </c>
      <c r="C18" s="278"/>
      <c r="D18" s="278"/>
      <c r="E18" s="278"/>
      <c r="F18" s="278">
        <v>0</v>
      </c>
      <c r="G18" s="278">
        <v>0</v>
      </c>
      <c r="H18" s="278">
        <v>0</v>
      </c>
      <c r="I18" s="278">
        <v>0</v>
      </c>
      <c r="J18" s="278">
        <v>0</v>
      </c>
      <c r="K18" s="278">
        <v>0</v>
      </c>
      <c r="L18" s="278">
        <v>0</v>
      </c>
      <c r="M18" s="278">
        <v>0</v>
      </c>
      <c r="N18" s="278">
        <v>0</v>
      </c>
      <c r="O18" s="278">
        <v>0</v>
      </c>
      <c r="P18" s="278">
        <v>0</v>
      </c>
      <c r="Q18" s="278">
        <v>0</v>
      </c>
      <c r="R18" s="278">
        <v>0</v>
      </c>
      <c r="S18" s="278">
        <v>0</v>
      </c>
      <c r="T18" s="278">
        <v>0</v>
      </c>
      <c r="U18" s="278">
        <v>0</v>
      </c>
      <c r="V18" s="278">
        <v>0</v>
      </c>
      <c r="W18" s="278">
        <v>0</v>
      </c>
      <c r="X18" s="278">
        <v>0</v>
      </c>
      <c r="Y18" s="278">
        <v>0</v>
      </c>
      <c r="Z18" s="278">
        <v>0</v>
      </c>
      <c r="AA18" s="278">
        <v>0</v>
      </c>
    </row>
    <row r="19" spans="1:29">
      <c r="B19" s="78" t="s">
        <v>490</v>
      </c>
      <c r="C19" s="278"/>
      <c r="D19" s="278"/>
      <c r="E19" s="278"/>
      <c r="F19" s="278">
        <f>-F8</f>
        <v>-1662.5</v>
      </c>
      <c r="G19" s="278">
        <f t="shared" ref="G19:AA19" si="6">-G8</f>
        <v>-1828.75</v>
      </c>
      <c r="H19" s="278">
        <f t="shared" si="6"/>
        <v>-1998.3249999999998</v>
      </c>
      <c r="I19" s="278">
        <f t="shared" si="6"/>
        <v>-2171.2914999999998</v>
      </c>
      <c r="J19" s="278">
        <f t="shared" si="6"/>
        <v>-2347.7173299999999</v>
      </c>
      <c r="K19" s="278">
        <f t="shared" si="6"/>
        <v>-2527.6716766000004</v>
      </c>
      <c r="L19" s="278">
        <f t="shared" si="6"/>
        <v>-2711.2251101320021</v>
      </c>
      <c r="M19" s="278">
        <f t="shared" si="6"/>
        <v>-2898.4496123346403</v>
      </c>
      <c r="N19" s="278">
        <f t="shared" si="6"/>
        <v>-3089.4186045813349</v>
      </c>
      <c r="O19" s="278">
        <f t="shared" si="6"/>
        <v>-3284.2069766729619</v>
      </c>
      <c r="P19" s="278">
        <f t="shared" si="6"/>
        <v>-3482.8911162064205</v>
      </c>
      <c r="Q19" s="278">
        <f t="shared" si="6"/>
        <v>-3685.5489385305473</v>
      </c>
      <c r="R19" s="278">
        <f t="shared" si="6"/>
        <v>-3892.2599173011599</v>
      </c>
      <c r="S19" s="278">
        <f t="shared" si="6"/>
        <v>-4103.1051156471831</v>
      </c>
      <c r="T19" s="278">
        <f t="shared" si="6"/>
        <v>-4318.1672179601264</v>
      </c>
      <c r="U19" s="278">
        <f t="shared" si="6"/>
        <v>-4537.5305623193308</v>
      </c>
      <c r="V19" s="278">
        <f t="shared" si="6"/>
        <v>-4761.281173565716</v>
      </c>
      <c r="W19" s="278">
        <f t="shared" si="6"/>
        <v>-4989.5067970370319</v>
      </c>
      <c r="X19" s="278">
        <f t="shared" si="6"/>
        <v>-5222.2969329777725</v>
      </c>
      <c r="Y19" s="278">
        <f t="shared" si="6"/>
        <v>-5459.7428716373261</v>
      </c>
      <c r="Z19" s="278">
        <f t="shared" si="6"/>
        <v>-5701.937729070075</v>
      </c>
      <c r="AA19" s="278">
        <f t="shared" si="6"/>
        <v>-5948.9764836514769</v>
      </c>
    </row>
    <row r="20" spans="1:29">
      <c r="B20" s="78" t="s">
        <v>491</v>
      </c>
      <c r="C20" s="278"/>
      <c r="D20" s="278"/>
      <c r="E20" s="278"/>
      <c r="F20" s="278">
        <f>F19*'Mode Operating Assumptions'!$C$36</f>
        <v>-41562.5</v>
      </c>
      <c r="G20" s="278">
        <f>G19*'Mode Operating Assumptions'!$C$36</f>
        <v>-45718.75</v>
      </c>
      <c r="H20" s="278">
        <f>H19*'Mode Operating Assumptions'!$C$36</f>
        <v>-49958.124999999993</v>
      </c>
      <c r="I20" s="278">
        <f>I19*'Mode Operating Assumptions'!$C$36</f>
        <v>-54282.287499999999</v>
      </c>
      <c r="J20" s="278">
        <f>J19*'Mode Operating Assumptions'!$C$36</f>
        <v>-58692.933250000002</v>
      </c>
      <c r="K20" s="278">
        <f>K19*'Mode Operating Assumptions'!$C$36</f>
        <v>-63191.791915000009</v>
      </c>
      <c r="L20" s="278">
        <f>L19*'Mode Operating Assumptions'!$C$36</f>
        <v>-67780.627753300054</v>
      </c>
      <c r="M20" s="278">
        <f>M19*'Mode Operating Assumptions'!$C$36</f>
        <v>-72461.240308366003</v>
      </c>
      <c r="N20" s="278">
        <f>N19*'Mode Operating Assumptions'!$C$36</f>
        <v>-77235.465114533377</v>
      </c>
      <c r="O20" s="278">
        <f>O19*'Mode Operating Assumptions'!$C$36</f>
        <v>-82105.17441682404</v>
      </c>
      <c r="P20" s="278">
        <f>P19*'Mode Operating Assumptions'!$C$36</f>
        <v>-87072.277905160518</v>
      </c>
      <c r="Q20" s="278">
        <f>Q19*'Mode Operating Assumptions'!$C$36</f>
        <v>-92138.723463263683</v>
      </c>
      <c r="R20" s="278">
        <f>R19*'Mode Operating Assumptions'!$C$36</f>
        <v>-97306.497932529004</v>
      </c>
      <c r="S20" s="278">
        <f>S19*'Mode Operating Assumptions'!$C$36</f>
        <v>-102577.62789117958</v>
      </c>
      <c r="T20" s="278">
        <f>T19*'Mode Operating Assumptions'!$C$36</f>
        <v>-107954.18044900316</v>
      </c>
      <c r="U20" s="278">
        <f>U19*'Mode Operating Assumptions'!$C$36</f>
        <v>-113438.26405798327</v>
      </c>
      <c r="V20" s="278">
        <f>V19*'Mode Operating Assumptions'!$C$36</f>
        <v>-119032.0293391429</v>
      </c>
      <c r="W20" s="278">
        <f>W19*'Mode Operating Assumptions'!$C$36</f>
        <v>-124737.6699259258</v>
      </c>
      <c r="X20" s="278">
        <f>X19*'Mode Operating Assumptions'!$C$36</f>
        <v>-130557.42332444432</v>
      </c>
      <c r="Y20" s="278">
        <f>Y19*'Mode Operating Assumptions'!$C$36</f>
        <v>-136493.57179093314</v>
      </c>
      <c r="Z20" s="278">
        <f>Z19*'Mode Operating Assumptions'!$C$36</f>
        <v>-142548.44322675187</v>
      </c>
      <c r="AA20" s="278">
        <f>AA19*'Mode Operating Assumptions'!$C$36</f>
        <v>-148724.41209128691</v>
      </c>
    </row>
    <row r="21" spans="1:29">
      <c r="A21" s="70"/>
      <c r="B21" s="54" t="s">
        <v>492</v>
      </c>
      <c r="C21" s="227"/>
      <c r="D21" s="227"/>
      <c r="E21" s="227"/>
      <c r="F21" s="227">
        <f>-(F20*'Mode Operating Assumptions'!$C$8/'Mode Operating Assumptions'!F11)</f>
        <v>7001.406170255932</v>
      </c>
      <c r="G21" s="227">
        <f>-(G20*'Mode Operating Assumptions'!$C$8/'Mode Operating Assumptions'!G11)</f>
        <v>7535.4629353582823</v>
      </c>
      <c r="H21" s="227">
        <f>-(H20*'Mode Operating Assumptions'!$C$8/'Mode Operating Assumptions'!H11)</f>
        <v>8060.3836925185642</v>
      </c>
      <c r="I21" s="227">
        <f>-(I20*'Mode Operating Assumptions'!$C$8/'Mode Operating Assumptions'!I11)</f>
        <v>8576.9977447504352</v>
      </c>
      <c r="J21" s="227">
        <f>-(J20*'Mode Operating Assumptions'!$C$8/'Mode Operating Assumptions'!J11)</f>
        <v>9086.0723535068792</v>
      </c>
      <c r="K21" s="227">
        <f>-(K20*'Mode Operating Assumptions'!$C$8/'Mode Operating Assumptions'!K11)</f>
        <v>9588.3189979900071</v>
      </c>
      <c r="L21" s="227">
        <f>-(L20*'Mode Operating Assumptions'!$C$8/'Mode Operating Assumptions'!L11)</f>
        <v>10279.153468213481</v>
      </c>
      <c r="M21" s="227">
        <f>-(M20*'Mode Operating Assumptions'!$C$8/'Mode Operating Assumptions'!M11)</f>
        <v>10983.167539377453</v>
      </c>
      <c r="N21" s="227">
        <f>-(N20*'Mode Operating Assumptions'!$C$8/'Mode Operating Assumptions'!N11)</f>
        <v>11700.618366253348</v>
      </c>
      <c r="O21" s="227">
        <f>-(O20*'Mode Operating Assumptions'!$C$8/'Mode Operating Assumptions'!O11)</f>
        <v>12431.76811823949</v>
      </c>
      <c r="P21" s="227">
        <f>-(P20*'Mode Operating Assumptions'!$C$8/'Mode Operating Assumptions'!P11)</f>
        <v>13176.884077222425</v>
      </c>
      <c r="Q21" s="227">
        <f>-(Q20*'Mode Operating Assumptions'!$C$8/'Mode Operating Assumptions'!Q11)</f>
        <v>13936.238737349006</v>
      </c>
      <c r="R21" s="227">
        <f>-(R20*'Mode Operating Assumptions'!$C$8/'Mode Operating Assumptions'!R11)</f>
        <v>14710.109906746849</v>
      </c>
      <c r="S21" s="227">
        <f>-(S20*'Mode Operating Assumptions'!$C$8/'Mode Operating Assumptions'!S11)</f>
        <v>15498.780811231003</v>
      </c>
      <c r="T21" s="227">
        <f>-(T20*'Mode Operating Assumptions'!$C$8/'Mode Operating Assumptions'!T11)</f>
        <v>16302.540200035886</v>
      </c>
      <c r="U21" s="227">
        <f>-(U20*'Mode Operating Assumptions'!$C$8/'Mode Operating Assumptions'!U11)</f>
        <v>17121.682453611847</v>
      </c>
      <c r="V21" s="227">
        <f>-(V20*'Mode Operating Assumptions'!$C$8/'Mode Operating Assumptions'!V11)</f>
        <v>17956.507693526772</v>
      </c>
      <c r="W21" s="227">
        <f>-(W20*'Mode Operating Assumptions'!$C$8/'Mode Operating Assumptions'!W11)</f>
        <v>18807.32189451396</v>
      </c>
      <c r="X21" s="227">
        <f>-(X20*'Mode Operating Assumptions'!$C$8/'Mode Operating Assumptions'!X11)</f>
        <v>19674.436998707974</v>
      </c>
      <c r="Y21" s="227">
        <f>-(Y20*'Mode Operating Assumptions'!$C$8/'Mode Operating Assumptions'!Y11)</f>
        <v>20558.17103211151</v>
      </c>
      <c r="Z21" s="227">
        <f>-(Z20*'Mode Operating Assumptions'!$C$8/'Mode Operating Assumptions'!Z11)</f>
        <v>21458.848223336667</v>
      </c>
      <c r="AA21" s="227">
        <f>-(AA20*'Mode Operating Assumptions'!$C$8/'Mode Operating Assumptions'!AA11)</f>
        <v>22376.799124665038</v>
      </c>
    </row>
    <row r="22" spans="1:29">
      <c r="A22" s="70"/>
      <c r="C22" s="304"/>
    </row>
    <row r="25" spans="1:29" ht="15">
      <c r="A25" s="157" t="s">
        <v>275</v>
      </c>
      <c r="B25" s="134"/>
      <c r="C25" s="134"/>
      <c r="D25" s="134"/>
      <c r="E25" s="134"/>
    </row>
    <row r="26" spans="1:29" ht="15">
      <c r="A26" s="135" t="s">
        <v>220</v>
      </c>
      <c r="C26" t="s">
        <v>276</v>
      </c>
      <c r="D26" t="s">
        <v>277</v>
      </c>
      <c r="E26" t="s">
        <v>278</v>
      </c>
      <c r="F26" t="s">
        <v>276</v>
      </c>
      <c r="G26" t="s">
        <v>277</v>
      </c>
      <c r="H26" t="s">
        <v>278</v>
      </c>
      <c r="I26" t="s">
        <v>276</v>
      </c>
      <c r="J26" t="s">
        <v>277</v>
      </c>
      <c r="K26" t="s">
        <v>278</v>
      </c>
      <c r="L26" t="s">
        <v>276</v>
      </c>
      <c r="M26" t="s">
        <v>277</v>
      </c>
      <c r="N26" t="s">
        <v>278</v>
      </c>
      <c r="O26" t="s">
        <v>276</v>
      </c>
      <c r="P26" t="s">
        <v>277</v>
      </c>
      <c r="Q26" t="s">
        <v>278</v>
      </c>
      <c r="R26" t="s">
        <v>276</v>
      </c>
      <c r="S26" t="s">
        <v>277</v>
      </c>
      <c r="T26" t="s">
        <v>278</v>
      </c>
      <c r="U26" t="s">
        <v>276</v>
      </c>
      <c r="V26" t="s">
        <v>277</v>
      </c>
      <c r="W26" t="s">
        <v>278</v>
      </c>
      <c r="X26" t="s">
        <v>276</v>
      </c>
      <c r="Y26" t="s">
        <v>277</v>
      </c>
      <c r="Z26" t="s">
        <v>278</v>
      </c>
    </row>
    <row r="27" spans="1:29" ht="15">
      <c r="A27" s="135"/>
      <c r="B27" t="s">
        <v>279</v>
      </c>
      <c r="C27" t="s">
        <v>280</v>
      </c>
      <c r="F27" t="s">
        <v>281</v>
      </c>
      <c r="I27" t="s">
        <v>282</v>
      </c>
      <c r="L27" t="s">
        <v>283</v>
      </c>
      <c r="O27" t="s">
        <v>284</v>
      </c>
      <c r="R27" t="s">
        <v>285</v>
      </c>
      <c r="U27" t="s">
        <v>286</v>
      </c>
      <c r="X27" t="s">
        <v>287</v>
      </c>
      <c r="AB27" t="s">
        <v>288</v>
      </c>
    </row>
    <row r="28" spans="1:29">
      <c r="B28" t="s">
        <v>221</v>
      </c>
      <c r="D28" s="130">
        <v>1.9E-2</v>
      </c>
      <c r="G28" s="130">
        <v>1.9E-2</v>
      </c>
      <c r="I28">
        <v>3</v>
      </c>
      <c r="J28" s="130">
        <v>1.9E-2</v>
      </c>
      <c r="M28" s="130">
        <v>1.9E-2</v>
      </c>
      <c r="O28">
        <v>2</v>
      </c>
      <c r="P28" s="130">
        <v>1.9E-2</v>
      </c>
      <c r="R28">
        <v>2</v>
      </c>
      <c r="S28" s="130">
        <v>1.9E-2</v>
      </c>
      <c r="V28" s="130">
        <v>1.9E-2</v>
      </c>
      <c r="Y28" s="130">
        <v>1.9E-2</v>
      </c>
      <c r="AA28" t="s">
        <v>221</v>
      </c>
      <c r="AB28">
        <f>C28+F28+I28+L28+O28+R28+U28+X28</f>
        <v>7</v>
      </c>
      <c r="AC28" s="158">
        <f>AB28/$AB$34</f>
        <v>1.6298020954598369E-3</v>
      </c>
    </row>
    <row r="29" spans="1:29">
      <c r="B29" t="s">
        <v>125</v>
      </c>
      <c r="C29" s="34">
        <v>2</v>
      </c>
      <c r="D29" s="130">
        <v>1.9E-2</v>
      </c>
      <c r="F29" s="34">
        <v>51</v>
      </c>
      <c r="G29" s="130">
        <v>1.9E-2</v>
      </c>
      <c r="I29">
        <v>14</v>
      </c>
      <c r="J29" s="130">
        <v>1.9E-2</v>
      </c>
      <c r="L29">
        <v>29</v>
      </c>
      <c r="M29" s="130">
        <v>1.9E-2</v>
      </c>
      <c r="O29">
        <v>26</v>
      </c>
      <c r="P29" s="130">
        <v>1.9E-2</v>
      </c>
      <c r="R29">
        <v>6</v>
      </c>
      <c r="S29" s="130">
        <v>1.9E-2</v>
      </c>
      <c r="U29">
        <v>47</v>
      </c>
      <c r="V29" s="130">
        <v>1.9E-2</v>
      </c>
      <c r="X29">
        <v>65</v>
      </c>
      <c r="Y29" s="130">
        <v>1.9E-2</v>
      </c>
      <c r="AA29" t="s">
        <v>125</v>
      </c>
      <c r="AB29">
        <f t="shared" ref="AB29:AB34" si="7">C29+F29+I29+L29+O29+R29+U29+X29</f>
        <v>240</v>
      </c>
      <c r="AC29" s="158">
        <f t="shared" ref="AC29:AC33" si="8">AB29/$AB$34</f>
        <v>5.5878928987194411E-2</v>
      </c>
    </row>
    <row r="30" spans="1:29">
      <c r="B30" t="s">
        <v>126</v>
      </c>
      <c r="C30" s="34">
        <v>1143</v>
      </c>
      <c r="D30" s="130">
        <v>1.9E-2</v>
      </c>
      <c r="F30" s="34">
        <v>450</v>
      </c>
      <c r="G30" s="130">
        <v>1.9E-2</v>
      </c>
      <c r="I30">
        <v>305</v>
      </c>
      <c r="J30" s="130">
        <v>1.9E-2</v>
      </c>
      <c r="L30">
        <v>365</v>
      </c>
      <c r="M30" s="130">
        <v>1.9E-2</v>
      </c>
      <c r="O30">
        <v>129</v>
      </c>
      <c r="P30" s="130">
        <v>1.9E-2</v>
      </c>
      <c r="R30">
        <v>15</v>
      </c>
      <c r="S30" s="130">
        <v>1.9E-2</v>
      </c>
      <c r="U30">
        <v>924</v>
      </c>
      <c r="V30" s="130">
        <v>1.9E-2</v>
      </c>
      <c r="X30">
        <v>702</v>
      </c>
      <c r="Y30" s="130">
        <v>1.9E-2</v>
      </c>
      <c r="AA30" t="s">
        <v>126</v>
      </c>
      <c r="AB30">
        <f t="shared" si="7"/>
        <v>4033</v>
      </c>
      <c r="AC30" s="158">
        <f t="shared" si="8"/>
        <v>0.93899883585564614</v>
      </c>
    </row>
    <row r="31" spans="1:29">
      <c r="B31" t="s">
        <v>222</v>
      </c>
      <c r="C31" s="34">
        <v>2</v>
      </c>
      <c r="D31" s="130">
        <v>1.9E-2</v>
      </c>
      <c r="F31" s="34">
        <v>1</v>
      </c>
      <c r="G31" s="130">
        <v>1.9E-2</v>
      </c>
      <c r="I31">
        <v>1</v>
      </c>
      <c r="J31" s="130">
        <v>1.9E-2</v>
      </c>
      <c r="L31">
        <v>2</v>
      </c>
      <c r="M31" s="130">
        <v>1.9E-2</v>
      </c>
      <c r="P31" s="130">
        <v>1.9E-2</v>
      </c>
      <c r="S31" s="130">
        <v>1.9E-2</v>
      </c>
      <c r="U31">
        <v>5</v>
      </c>
      <c r="V31" s="130">
        <v>1.9E-2</v>
      </c>
      <c r="X31">
        <v>2</v>
      </c>
      <c r="Y31" s="130">
        <v>1.9E-2</v>
      </c>
      <c r="AA31" t="s">
        <v>222</v>
      </c>
      <c r="AB31">
        <f t="shared" si="7"/>
        <v>13</v>
      </c>
      <c r="AC31" s="158">
        <f t="shared" si="8"/>
        <v>3.0267753201396975E-3</v>
      </c>
    </row>
    <row r="32" spans="1:29">
      <c r="B32" t="s">
        <v>127</v>
      </c>
      <c r="D32" s="130">
        <v>1.9E-2</v>
      </c>
      <c r="F32" s="34"/>
      <c r="G32" s="130">
        <v>1.9E-2</v>
      </c>
      <c r="J32" s="130">
        <v>1.9E-2</v>
      </c>
      <c r="M32" s="130">
        <v>1.9E-2</v>
      </c>
      <c r="P32" s="130">
        <v>1.9E-2</v>
      </c>
      <c r="S32" s="130">
        <v>1.9E-2</v>
      </c>
      <c r="V32" s="130">
        <v>1.9E-2</v>
      </c>
      <c r="Y32" s="130">
        <v>1.9E-2</v>
      </c>
      <c r="AA32" t="s">
        <v>127</v>
      </c>
      <c r="AB32">
        <f t="shared" si="7"/>
        <v>0</v>
      </c>
      <c r="AC32" s="158">
        <f t="shared" si="8"/>
        <v>0</v>
      </c>
    </row>
    <row r="33" spans="1:38">
      <c r="B33" t="s">
        <v>289</v>
      </c>
      <c r="D33" s="130">
        <v>1.9E-2</v>
      </c>
      <c r="F33" s="34">
        <v>2</v>
      </c>
      <c r="G33" s="130">
        <v>1.9E-2</v>
      </c>
      <c r="J33" s="130">
        <v>1.9E-2</v>
      </c>
      <c r="M33" s="130">
        <v>1.9E-2</v>
      </c>
      <c r="P33" s="130">
        <v>1.9E-2</v>
      </c>
      <c r="S33" s="130">
        <v>1.9E-2</v>
      </c>
      <c r="V33" s="130">
        <v>1.9E-2</v>
      </c>
      <c r="Y33" s="130">
        <v>1.9E-2</v>
      </c>
      <c r="AA33" t="s">
        <v>289</v>
      </c>
      <c r="AB33">
        <f t="shared" si="7"/>
        <v>2</v>
      </c>
      <c r="AC33" s="158">
        <f t="shared" si="8"/>
        <v>4.6565774155995343E-4</v>
      </c>
    </row>
    <row r="34" spans="1:38">
      <c r="C34" s="34">
        <f>SUM(C28:C33)</f>
        <v>1147</v>
      </c>
      <c r="F34" s="34">
        <f>SUM(F28:F33)</f>
        <v>504</v>
      </c>
      <c r="I34" s="34">
        <f>SUM(I28:I33)</f>
        <v>323</v>
      </c>
      <c r="L34" s="34">
        <f>SUM(L28:L33)</f>
        <v>396</v>
      </c>
      <c r="O34" s="34">
        <f>SUM(O28:O33)</f>
        <v>157</v>
      </c>
      <c r="R34" s="34">
        <f>SUM(R28:R33)</f>
        <v>23</v>
      </c>
      <c r="U34" s="34">
        <f>SUM(U28:U33)</f>
        <v>976</v>
      </c>
      <c r="X34" s="34">
        <f>SUM(X28:X33)</f>
        <v>769</v>
      </c>
      <c r="AB34">
        <f t="shared" si="7"/>
        <v>4295</v>
      </c>
      <c r="AC34" s="34"/>
    </row>
    <row r="35" spans="1:38" ht="15">
      <c r="A35" s="135" t="s">
        <v>223</v>
      </c>
      <c r="F35" s="34"/>
      <c r="AC35" t="s">
        <v>290</v>
      </c>
      <c r="AE35" t="s">
        <v>291</v>
      </c>
      <c r="AF35" t="s">
        <v>292</v>
      </c>
      <c r="AG35" t="s">
        <v>293</v>
      </c>
      <c r="AH35" t="s">
        <v>294</v>
      </c>
      <c r="AI35" t="s">
        <v>295</v>
      </c>
      <c r="AJ35" t="s">
        <v>296</v>
      </c>
      <c r="AK35" t="s">
        <v>297</v>
      </c>
      <c r="AL35" t="s">
        <v>298</v>
      </c>
    </row>
    <row r="36" spans="1:38" ht="15">
      <c r="A36" s="135"/>
      <c r="B36" t="s">
        <v>279</v>
      </c>
      <c r="F36" s="34"/>
    </row>
    <row r="37" spans="1:38">
      <c r="B37" t="s">
        <v>221</v>
      </c>
      <c r="C37" s="34">
        <v>171</v>
      </c>
      <c r="D37" s="159"/>
      <c r="F37" s="89"/>
      <c r="I37" s="89"/>
      <c r="L37" s="89"/>
      <c r="O37" s="89"/>
      <c r="U37" s="89"/>
      <c r="X37" s="89"/>
      <c r="AA37" t="s">
        <v>221</v>
      </c>
      <c r="AB37" s="89"/>
      <c r="AC37" s="89">
        <v>0.04</v>
      </c>
      <c r="AD37" s="34"/>
      <c r="AE37" s="159">
        <v>0.05</v>
      </c>
      <c r="AF37" s="89">
        <v>0.04</v>
      </c>
      <c r="AG37" s="89">
        <v>0.05</v>
      </c>
      <c r="AH37" s="89">
        <v>0.02</v>
      </c>
      <c r="AI37" s="89">
        <v>0.04</v>
      </c>
      <c r="AK37" s="89">
        <v>0.05</v>
      </c>
      <c r="AL37" s="89">
        <v>0.06</v>
      </c>
    </row>
    <row r="38" spans="1:38">
      <c r="B38" t="s">
        <v>125</v>
      </c>
      <c r="C38" s="34">
        <v>2959</v>
      </c>
      <c r="D38" s="159"/>
      <c r="L38" s="89"/>
      <c r="O38" s="89"/>
      <c r="R38" s="89"/>
      <c r="U38" s="89"/>
      <c r="X38" s="89"/>
      <c r="AA38" t="s">
        <v>125</v>
      </c>
      <c r="AB38" s="89"/>
      <c r="AC38" s="89">
        <v>0.69</v>
      </c>
      <c r="AD38" s="34"/>
      <c r="AE38" s="159">
        <v>0.66</v>
      </c>
      <c r="AF38" s="89">
        <v>0.72</v>
      </c>
      <c r="AG38" s="89">
        <v>0.73</v>
      </c>
      <c r="AH38" s="89">
        <v>0.76</v>
      </c>
      <c r="AI38" s="89">
        <v>0.77</v>
      </c>
      <c r="AJ38" s="89">
        <v>0.87</v>
      </c>
      <c r="AK38" s="89">
        <v>0.66</v>
      </c>
      <c r="AL38" s="89">
        <v>0.65</v>
      </c>
    </row>
    <row r="39" spans="1:38">
      <c r="B39" t="s">
        <v>126</v>
      </c>
      <c r="C39" s="34">
        <v>42</v>
      </c>
      <c r="D39" s="159"/>
      <c r="L39" s="130"/>
      <c r="O39" s="89"/>
      <c r="U39" s="89"/>
      <c r="X39" s="130"/>
      <c r="AA39" t="s">
        <v>126</v>
      </c>
      <c r="AB39" s="89"/>
      <c r="AC39" s="89">
        <v>0.01</v>
      </c>
      <c r="AD39" s="34"/>
      <c r="AE39" s="159">
        <v>0.02</v>
      </c>
      <c r="AF39" s="89">
        <v>0.02</v>
      </c>
      <c r="AG39" s="89">
        <v>0.01</v>
      </c>
      <c r="AH39" s="130">
        <v>8.0000000000000002E-3</v>
      </c>
      <c r="AI39" s="89">
        <v>0.01</v>
      </c>
      <c r="AK39" s="89">
        <v>0.01</v>
      </c>
      <c r="AL39" s="130">
        <v>6.0000000000000001E-3</v>
      </c>
    </row>
    <row r="40" spans="1:38">
      <c r="B40" t="s">
        <v>222</v>
      </c>
      <c r="C40" s="34">
        <v>9</v>
      </c>
      <c r="D40" s="159"/>
      <c r="U40" s="130"/>
      <c r="X40" s="130"/>
      <c r="AA40" t="s">
        <v>222</v>
      </c>
      <c r="AB40" s="89"/>
      <c r="AC40" s="130">
        <v>2E-3</v>
      </c>
      <c r="AD40" s="34"/>
      <c r="AE40" s="159">
        <v>3.0000000000000001E-3</v>
      </c>
      <c r="AK40" s="130">
        <v>2E-3</v>
      </c>
      <c r="AL40" s="130">
        <v>4.0000000000000001E-3</v>
      </c>
    </row>
    <row r="41" spans="1:38">
      <c r="B41" t="s">
        <v>127</v>
      </c>
      <c r="C41" s="34"/>
      <c r="AA41" t="s">
        <v>127</v>
      </c>
      <c r="AB41" s="89"/>
      <c r="AD41" s="34"/>
    </row>
    <row r="42" spans="1:38">
      <c r="B42" t="s">
        <v>299</v>
      </c>
      <c r="C42" s="34">
        <v>1029</v>
      </c>
      <c r="D42" s="89"/>
      <c r="L42" s="89"/>
      <c r="O42" s="89"/>
      <c r="R42" s="89"/>
      <c r="U42" s="89"/>
      <c r="X42" s="89"/>
      <c r="AA42" t="s">
        <v>299</v>
      </c>
      <c r="AB42" s="89"/>
      <c r="AC42" s="89">
        <v>0.24</v>
      </c>
      <c r="AD42" s="34"/>
      <c r="AE42" s="89">
        <v>0.25</v>
      </c>
      <c r="AF42" s="89">
        <v>0.2</v>
      </c>
      <c r="AG42" s="89">
        <v>0.18</v>
      </c>
      <c r="AH42" s="89">
        <v>0.19</v>
      </c>
      <c r="AI42" s="89">
        <v>0.16</v>
      </c>
      <c r="AJ42" s="89">
        <v>7.0000000000000007E-2</v>
      </c>
      <c r="AK42" s="89">
        <v>0.25</v>
      </c>
      <c r="AL42" s="89">
        <v>0.28000000000000003</v>
      </c>
    </row>
    <row r="43" spans="1:38">
      <c r="B43" t="s">
        <v>289</v>
      </c>
      <c r="C43" s="34">
        <v>85</v>
      </c>
      <c r="D43" s="89"/>
      <c r="L43" s="89"/>
      <c r="O43" s="89"/>
      <c r="R43" s="89"/>
      <c r="U43" s="89"/>
      <c r="AA43" t="s">
        <v>289</v>
      </c>
      <c r="AB43" s="89"/>
      <c r="AC43" s="89">
        <v>0.02</v>
      </c>
      <c r="AD43" s="34"/>
      <c r="AE43" s="89">
        <v>1.7000000000000001E-2</v>
      </c>
      <c r="AF43" s="89">
        <v>0.02</v>
      </c>
      <c r="AG43" s="89">
        <v>0.03</v>
      </c>
      <c r="AH43" s="89">
        <v>0.02</v>
      </c>
      <c r="AI43" s="89">
        <v>0.02</v>
      </c>
      <c r="AJ43" s="89">
        <v>0.06</v>
      </c>
      <c r="AK43" s="89">
        <v>0.03</v>
      </c>
    </row>
    <row r="44" spans="1:38" ht="15">
      <c r="A44" s="135" t="s">
        <v>224</v>
      </c>
    </row>
    <row r="45" spans="1:38">
      <c r="B45" t="s">
        <v>225</v>
      </c>
      <c r="C45" t="s">
        <v>300</v>
      </c>
    </row>
    <row r="46" spans="1:38">
      <c r="B46" t="s">
        <v>222</v>
      </c>
      <c r="C46" t="s">
        <v>300</v>
      </c>
    </row>
    <row r="48" spans="1:38" ht="15">
      <c r="A48" s="135" t="s">
        <v>301</v>
      </c>
      <c r="C48" t="s">
        <v>302</v>
      </c>
      <c r="D48" t="s">
        <v>289</v>
      </c>
    </row>
    <row r="49" spans="1:4" ht="15">
      <c r="A49" s="135"/>
      <c r="B49" t="s">
        <v>279</v>
      </c>
    </row>
    <row r="50" spans="1:4">
      <c r="B50" t="s">
        <v>303</v>
      </c>
      <c r="C50" s="89">
        <v>0.97</v>
      </c>
      <c r="D50" s="89">
        <v>0.03</v>
      </c>
    </row>
    <row r="51" spans="1:4">
      <c r="B51" t="s">
        <v>304</v>
      </c>
      <c r="C51" t="s">
        <v>305</v>
      </c>
      <c r="D51" t="s">
        <v>305</v>
      </c>
    </row>
    <row r="52" spans="1:4">
      <c r="B52" t="s">
        <v>224</v>
      </c>
      <c r="C52" t="s">
        <v>300</v>
      </c>
      <c r="D52" t="s">
        <v>300</v>
      </c>
    </row>
    <row r="54" spans="1:4" ht="15">
      <c r="A54" s="135" t="s">
        <v>306</v>
      </c>
    </row>
    <row r="55" spans="1:4" ht="15">
      <c r="A55" s="135"/>
      <c r="B55" t="s">
        <v>279</v>
      </c>
    </row>
    <row r="56" spans="1:4" ht="15">
      <c r="A56" s="135"/>
      <c r="B56" t="s">
        <v>307</v>
      </c>
      <c r="C56" s="130">
        <v>5.0000000000000001E-3</v>
      </c>
    </row>
    <row r="57" spans="1:4" ht="15">
      <c r="A57" s="135"/>
      <c r="B57" s="160" t="s">
        <v>308</v>
      </c>
      <c r="C57" s="89">
        <v>0.03</v>
      </c>
    </row>
    <row r="58" spans="1:4" ht="15">
      <c r="A58" s="135"/>
      <c r="B58" t="s">
        <v>309</v>
      </c>
      <c r="C58" s="89">
        <v>7.0000000000000007E-2</v>
      </c>
    </row>
    <row r="59" spans="1:4" ht="15">
      <c r="A59" s="135"/>
      <c r="B59" s="160" t="s">
        <v>310</v>
      </c>
      <c r="C59" s="89">
        <v>0.13</v>
      </c>
    </row>
    <row r="60" spans="1:4" ht="15">
      <c r="A60" s="135"/>
      <c r="B60" t="s">
        <v>311</v>
      </c>
      <c r="C60" s="89">
        <v>0.21</v>
      </c>
    </row>
    <row r="61" spans="1:4" ht="15">
      <c r="A61" s="135"/>
      <c r="B61" s="160" t="s">
        <v>312</v>
      </c>
      <c r="C61" s="89">
        <v>0.16</v>
      </c>
    </row>
    <row r="62" spans="1:4" ht="15">
      <c r="A62" s="135"/>
      <c r="B62" t="s">
        <v>313</v>
      </c>
      <c r="C62" s="89">
        <v>0.11</v>
      </c>
    </row>
    <row r="63" spans="1:4" ht="15">
      <c r="A63" s="135"/>
      <c r="B63" s="160" t="s">
        <v>314</v>
      </c>
      <c r="C63" s="89">
        <v>0.19</v>
      </c>
    </row>
    <row r="64" spans="1:4" ht="15">
      <c r="A64" s="135"/>
      <c r="B64" s="160" t="s">
        <v>315</v>
      </c>
      <c r="C64" s="89">
        <v>9.5000000000000001E-2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3:D38"/>
  <sheetViews>
    <sheetView topLeftCell="A10" workbookViewId="0">
      <selection activeCell="C24" sqref="C24"/>
    </sheetView>
  </sheetViews>
  <sheetFormatPr defaultRowHeight="12.75"/>
  <cols>
    <col min="2" max="2" width="26.7109375" customWidth="1"/>
    <col min="3" max="3" width="62.5703125" customWidth="1"/>
    <col min="4" max="4" width="47" customWidth="1"/>
  </cols>
  <sheetData>
    <row r="3" spans="1:4">
      <c r="A3" s="44" t="s">
        <v>219</v>
      </c>
      <c r="B3" s="55"/>
    </row>
    <row r="4" spans="1:4">
      <c r="C4" s="3" t="s">
        <v>229</v>
      </c>
      <c r="D4" s="3" t="s">
        <v>49</v>
      </c>
    </row>
    <row r="5" spans="1:4" ht="26.25">
      <c r="A5" s="135"/>
      <c r="B5" s="196" t="s">
        <v>225</v>
      </c>
      <c r="C5" s="137" t="s">
        <v>234</v>
      </c>
      <c r="D5" s="139" t="s">
        <v>235</v>
      </c>
    </row>
    <row r="6" spans="1:4" ht="25.5">
      <c r="B6" s="196" t="s">
        <v>222</v>
      </c>
      <c r="C6" s="137" t="s">
        <v>236</v>
      </c>
      <c r="D6" s="139" t="s">
        <v>237</v>
      </c>
    </row>
    <row r="7" spans="1:4" ht="25.5">
      <c r="B7" s="196" t="s">
        <v>356</v>
      </c>
      <c r="C7" s="137" t="s">
        <v>406</v>
      </c>
      <c r="D7" s="139" t="s">
        <v>233</v>
      </c>
    </row>
    <row r="8" spans="1:4">
      <c r="B8" s="192"/>
      <c r="C8" s="138"/>
      <c r="D8" s="140"/>
    </row>
    <row r="9" spans="1:4" ht="25.5">
      <c r="B9" s="193" t="s">
        <v>231</v>
      </c>
      <c r="C9" s="137" t="s">
        <v>241</v>
      </c>
      <c r="D9" s="139" t="s">
        <v>238</v>
      </c>
    </row>
    <row r="10" spans="1:4" ht="25.5">
      <c r="B10" s="193" t="s">
        <v>232</v>
      </c>
      <c r="C10" s="137" t="s">
        <v>239</v>
      </c>
      <c r="D10" s="139" t="s">
        <v>240</v>
      </c>
    </row>
    <row r="11" spans="1:4">
      <c r="B11" s="192"/>
      <c r="C11" s="136"/>
      <c r="D11" s="141"/>
    </row>
    <row r="12" spans="1:4">
      <c r="B12" s="192"/>
      <c r="C12" s="136"/>
      <c r="D12" s="141"/>
    </row>
    <row r="13" spans="1:4">
      <c r="B13" s="192"/>
      <c r="C13" s="136"/>
      <c r="D13" s="141"/>
    </row>
    <row r="14" spans="1:4">
      <c r="B14" s="192"/>
      <c r="C14" s="136"/>
      <c r="D14" s="136"/>
    </row>
    <row r="15" spans="1:4">
      <c r="B15" s="194"/>
      <c r="C15" s="136"/>
      <c r="D15" s="136"/>
    </row>
    <row r="16" spans="1:4">
      <c r="A16" s="44" t="s">
        <v>230</v>
      </c>
      <c r="B16" s="192"/>
      <c r="C16" s="3" t="s">
        <v>229</v>
      </c>
      <c r="D16" s="3" t="s">
        <v>49</v>
      </c>
    </row>
    <row r="17" spans="1:4" ht="38.25">
      <c r="B17" s="195" t="s">
        <v>357</v>
      </c>
      <c r="C17" s="139" t="s">
        <v>407</v>
      </c>
      <c r="D17" s="139" t="s">
        <v>358</v>
      </c>
    </row>
    <row r="18" spans="1:4">
      <c r="B18" s="53"/>
      <c r="C18" s="136"/>
      <c r="D18" s="136"/>
    </row>
    <row r="19" spans="1:4" ht="15">
      <c r="A19" s="135"/>
      <c r="C19" s="136"/>
      <c r="D19" s="136"/>
    </row>
    <row r="20" spans="1:4">
      <c r="C20" s="25"/>
    </row>
    <row r="21" spans="1:4">
      <c r="A21" s="37" t="s">
        <v>0</v>
      </c>
      <c r="B21" s="38"/>
      <c r="C21" s="25"/>
    </row>
    <row r="22" spans="1:4">
      <c r="A22" s="2"/>
      <c r="B22" s="2" t="s">
        <v>2</v>
      </c>
      <c r="C22" s="25"/>
    </row>
    <row r="23" spans="1:4">
      <c r="A23" s="2"/>
      <c r="B23" s="2" t="s">
        <v>4</v>
      </c>
      <c r="C23" s="25"/>
    </row>
    <row r="24" spans="1:4">
      <c r="A24" s="2"/>
      <c r="B24" s="2" t="s">
        <v>5</v>
      </c>
      <c r="C24" s="25"/>
    </row>
    <row r="25" spans="1:4">
      <c r="A25" s="2"/>
      <c r="B25" s="2" t="s">
        <v>6</v>
      </c>
      <c r="C25" s="25"/>
    </row>
    <row r="26" spans="1:4">
      <c r="A26" s="2"/>
      <c r="B26" s="2" t="s">
        <v>7</v>
      </c>
      <c r="C26" s="25"/>
    </row>
    <row r="27" spans="1:4">
      <c r="A27" s="2"/>
      <c r="B27" s="2" t="s">
        <v>8</v>
      </c>
      <c r="C27" s="25"/>
    </row>
    <row r="28" spans="1:4">
      <c r="A28" s="2"/>
      <c r="B28" s="2" t="s">
        <v>9</v>
      </c>
      <c r="C28" s="25"/>
    </row>
    <row r="29" spans="1:4">
      <c r="A29" s="2"/>
      <c r="B29" s="2" t="s">
        <v>10</v>
      </c>
      <c r="C29" s="25"/>
    </row>
    <row r="30" spans="1:4">
      <c r="A30" s="2"/>
      <c r="B30" s="2" t="s">
        <v>11</v>
      </c>
      <c r="C30" s="25"/>
    </row>
    <row r="31" spans="1:4">
      <c r="A31" s="2"/>
      <c r="B31" s="2"/>
      <c r="C31" s="25"/>
    </row>
    <row r="32" spans="1:4">
      <c r="C32" s="25"/>
    </row>
    <row r="33" spans="1:3">
      <c r="A33" s="37" t="s">
        <v>1</v>
      </c>
      <c r="B33" s="38"/>
      <c r="C33" s="25"/>
    </row>
    <row r="34" spans="1:3">
      <c r="A34" s="2"/>
      <c r="B34" s="2" t="s">
        <v>3</v>
      </c>
      <c r="C34" s="25"/>
    </row>
    <row r="35" spans="1:3">
      <c r="A35" s="2"/>
      <c r="B35" s="2" t="s">
        <v>81</v>
      </c>
      <c r="C35" s="25"/>
    </row>
    <row r="36" spans="1:3">
      <c r="A36" s="2"/>
      <c r="B36" s="2"/>
      <c r="C36" s="25"/>
    </row>
    <row r="37" spans="1:3">
      <c r="A37" s="25"/>
      <c r="B37" s="25"/>
      <c r="C37" s="25"/>
    </row>
    <row r="38" spans="1:3">
      <c r="C38" s="25"/>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sheetPr enableFormatConditionsCalculation="0">
    <tabColor rgb="FF99CC00"/>
  </sheetPr>
  <dimension ref="A1:AB196"/>
  <sheetViews>
    <sheetView tabSelected="1" workbookViewId="0">
      <pane xSplit="1" ySplit="2" topLeftCell="B3" activePane="bottomRight" state="frozen"/>
      <selection activeCell="B10" sqref="B10"/>
      <selection pane="topRight" activeCell="B10" sqref="B10"/>
      <selection pane="bottomLeft" activeCell="B10" sqref="B10"/>
      <selection pane="bottomRight" activeCell="A4" sqref="A4"/>
    </sheetView>
  </sheetViews>
  <sheetFormatPr defaultRowHeight="12.75"/>
  <cols>
    <col min="1" max="1" width="48.140625" bestFit="1" customWidth="1"/>
    <col min="2" max="2" width="12.7109375" bestFit="1" customWidth="1"/>
    <col min="3" max="4" width="11.140625" customWidth="1"/>
    <col min="5" max="5" width="10.140625" customWidth="1"/>
  </cols>
  <sheetData>
    <row r="1" spans="1:27" s="74" customFormat="1">
      <c r="D1" s="79"/>
    </row>
    <row r="2" spans="1:27" s="74" customFormat="1">
      <c r="B2" s="128"/>
      <c r="D2" s="79"/>
    </row>
    <row r="3" spans="1:27" s="74" customFormat="1">
      <c r="A3" s="320" t="s">
        <v>433</v>
      </c>
      <c r="B3" s="128"/>
      <c r="D3" s="79"/>
    </row>
    <row r="4" spans="1:27" s="74" customFormat="1">
      <c r="A4" s="3" t="s">
        <v>37</v>
      </c>
      <c r="B4" s="31"/>
      <c r="C4" s="31"/>
      <c r="D4" s="31"/>
    </row>
    <row r="5" spans="1:27" s="74" customFormat="1">
      <c r="A5" s="4" t="s">
        <v>14</v>
      </c>
      <c r="B5" s="32"/>
      <c r="C5" s="126">
        <v>12.623100280761699</v>
      </c>
    </row>
    <row r="6" spans="1:27" s="74" customFormat="1">
      <c r="A6" t="s">
        <v>15</v>
      </c>
      <c r="B6" s="31"/>
      <c r="C6" s="127"/>
    </row>
    <row r="7" spans="1:27" s="74" customFormat="1">
      <c r="A7" t="s">
        <v>16</v>
      </c>
      <c r="B7" s="31"/>
      <c r="C7" s="127"/>
    </row>
    <row r="8" spans="1:27" s="74" customFormat="1">
      <c r="A8" t="s">
        <v>17</v>
      </c>
      <c r="B8" s="81"/>
      <c r="C8" s="82">
        <v>3.7625005069206012</v>
      </c>
    </row>
    <row r="9" spans="1:27" s="74" customFormat="1">
      <c r="A9"/>
      <c r="B9" s="31"/>
      <c r="C9" s="84"/>
    </row>
    <row r="10" spans="1:27" s="74" customFormat="1">
      <c r="A10" s="3" t="s">
        <v>38</v>
      </c>
      <c r="B10" s="31"/>
      <c r="C10" s="84">
        <v>2011</v>
      </c>
      <c r="D10" s="84">
        <v>2012</v>
      </c>
      <c r="E10" s="84">
        <v>2013</v>
      </c>
      <c r="F10" s="84">
        <v>2014</v>
      </c>
      <c r="G10" s="84">
        <v>2015</v>
      </c>
      <c r="H10" s="84">
        <v>2016</v>
      </c>
      <c r="I10" s="84">
        <v>2017</v>
      </c>
      <c r="J10" s="84">
        <v>2018</v>
      </c>
      <c r="K10" s="84">
        <v>2019</v>
      </c>
      <c r="L10" s="84">
        <v>2020</v>
      </c>
      <c r="M10" s="84">
        <v>2021</v>
      </c>
      <c r="N10" s="84">
        <v>2022</v>
      </c>
      <c r="O10" s="84">
        <v>2023</v>
      </c>
      <c r="P10" s="84">
        <v>2024</v>
      </c>
      <c r="Q10" s="84">
        <v>2025</v>
      </c>
      <c r="R10" s="84">
        <v>2026</v>
      </c>
      <c r="S10" s="84">
        <v>2027</v>
      </c>
      <c r="T10" s="84">
        <v>2028</v>
      </c>
      <c r="U10" s="84">
        <v>2029</v>
      </c>
      <c r="V10" s="84">
        <v>2030</v>
      </c>
      <c r="W10" s="84">
        <v>2031</v>
      </c>
      <c r="X10" s="84">
        <v>2032</v>
      </c>
      <c r="Y10" s="84">
        <v>2033</v>
      </c>
      <c r="Z10" s="84">
        <v>2034</v>
      </c>
      <c r="AA10" s="84">
        <v>2035</v>
      </c>
    </row>
    <row r="11" spans="1:27" s="74" customFormat="1">
      <c r="A11" s="24" t="s">
        <v>114</v>
      </c>
      <c r="B11" s="33"/>
      <c r="C11" s="26">
        <v>20.858525999999998</v>
      </c>
      <c r="D11" s="26">
        <v>21.350803999999997</v>
      </c>
      <c r="E11" s="26">
        <v>21.843081999999995</v>
      </c>
      <c r="F11" s="26">
        <v>22.335359999999994</v>
      </c>
      <c r="G11" s="26">
        <v>22.827637999999997</v>
      </c>
      <c r="H11" s="26">
        <v>23.319915999999999</v>
      </c>
      <c r="I11" s="26">
        <v>23.812193999999998</v>
      </c>
      <c r="J11" s="26">
        <v>24.304471999999997</v>
      </c>
      <c r="K11">
        <v>24.796749999999999</v>
      </c>
      <c r="L11" s="26">
        <v>24.809888000000001</v>
      </c>
      <c r="M11" s="26">
        <v>24.823026000000002</v>
      </c>
      <c r="N11" s="26">
        <v>24.836164000000004</v>
      </c>
      <c r="O11" s="26">
        <v>24.849302000000002</v>
      </c>
      <c r="P11" s="26">
        <v>24.862439999999999</v>
      </c>
      <c r="Q11" s="26">
        <v>24.875578000000001</v>
      </c>
      <c r="R11" s="26">
        <v>24.888716000000002</v>
      </c>
      <c r="S11" s="26">
        <v>24.901854</v>
      </c>
      <c r="T11" s="26">
        <v>24.914991999999998</v>
      </c>
      <c r="U11">
        <v>24.928129999999999</v>
      </c>
      <c r="V11" s="26">
        <v>24.941268000000001</v>
      </c>
      <c r="W11" s="26">
        <v>24.954405999999999</v>
      </c>
      <c r="X11" s="26">
        <v>24.967544</v>
      </c>
      <c r="Y11">
        <v>24.980682000000002</v>
      </c>
      <c r="Z11" s="26">
        <v>24.993819999999999</v>
      </c>
      <c r="AA11" s="26">
        <v>25.006958000000001</v>
      </c>
    </row>
    <row r="12" spans="1:27" s="74" customFormat="1">
      <c r="A12"/>
      <c r="B12"/>
      <c r="C12" s="84"/>
    </row>
    <row r="13" spans="1:27" s="74" customFormat="1">
      <c r="A13" s="3" t="s">
        <v>448</v>
      </c>
      <c r="B13"/>
      <c r="C13" s="84"/>
    </row>
    <row r="14" spans="1:27" s="74" customFormat="1">
      <c r="A14" t="s">
        <v>111</v>
      </c>
      <c r="B14" s="82"/>
      <c r="C14" s="82">
        <v>0.33700000000000002</v>
      </c>
    </row>
    <row r="15" spans="1:27" s="74" customFormat="1"/>
    <row r="16" spans="1:27" s="74" customFormat="1">
      <c r="A16"/>
      <c r="B16" s="82"/>
      <c r="C16" s="82"/>
    </row>
    <row r="17" spans="1:28" s="74" customFormat="1">
      <c r="A17" s="243" t="s">
        <v>438</v>
      </c>
      <c r="B17"/>
      <c r="C17"/>
      <c r="V17" s="297">
        <f>T19-U19</f>
        <v>7.215108484931676E-2</v>
      </c>
    </row>
    <row r="18" spans="1:28" s="74" customFormat="1">
      <c r="A18" s="26" t="s">
        <v>134</v>
      </c>
      <c r="B18" s="26"/>
      <c r="C18" s="26">
        <v>1.79</v>
      </c>
      <c r="D18" s="75">
        <v>2012</v>
      </c>
      <c r="E18" s="75">
        <v>2013</v>
      </c>
      <c r="F18" s="75">
        <v>2014</v>
      </c>
      <c r="G18" s="75">
        <v>2015</v>
      </c>
      <c r="H18" s="75">
        <v>2016</v>
      </c>
      <c r="I18" s="75">
        <v>2017</v>
      </c>
      <c r="J18" s="75">
        <v>2018</v>
      </c>
      <c r="K18" s="75">
        <v>2019</v>
      </c>
      <c r="L18" s="75">
        <v>2020</v>
      </c>
      <c r="M18" s="75">
        <v>2021</v>
      </c>
      <c r="N18" s="75">
        <v>2022</v>
      </c>
      <c r="O18" s="75">
        <v>2023</v>
      </c>
      <c r="P18" s="75">
        <v>2024</v>
      </c>
      <c r="Q18" s="75">
        <v>2025</v>
      </c>
      <c r="R18" s="75">
        <v>2026</v>
      </c>
      <c r="S18" s="75">
        <v>2027</v>
      </c>
      <c r="T18" s="75">
        <v>2028</v>
      </c>
      <c r="U18" s="75">
        <v>2029</v>
      </c>
      <c r="V18" s="75">
        <v>2030</v>
      </c>
      <c r="W18" s="75">
        <v>2031</v>
      </c>
      <c r="X18" s="75">
        <v>2032</v>
      </c>
      <c r="Y18" s="75">
        <v>2033</v>
      </c>
      <c r="Z18" s="75">
        <v>2034</v>
      </c>
      <c r="AA18" s="75">
        <v>2035</v>
      </c>
    </row>
    <row r="19" spans="1:28" s="74" customFormat="1">
      <c r="A19" s="26" t="s">
        <v>106</v>
      </c>
      <c r="B19" s="26"/>
      <c r="C19" s="26">
        <v>21.198719527287729</v>
      </c>
      <c r="D19" s="26">
        <f>C19+((19.9-C19)/(2030-D18))</f>
        <v>21.126568442438412</v>
      </c>
      <c r="E19" s="26">
        <f t="shared" ref="E19:U19" si="0">D19+((19.9-D19)/(2030-E18))</f>
        <v>21.054417357589095</v>
      </c>
      <c r="F19" s="26">
        <f t="shared" si="0"/>
        <v>20.982266272739778</v>
      </c>
      <c r="G19" s="26">
        <f t="shared" si="0"/>
        <v>20.910115187890458</v>
      </c>
      <c r="H19" s="26">
        <f t="shared" si="0"/>
        <v>20.837964103041138</v>
      </c>
      <c r="I19" s="26">
        <f t="shared" si="0"/>
        <v>20.765813018191821</v>
      </c>
      <c r="J19" s="26">
        <f t="shared" si="0"/>
        <v>20.693661933342504</v>
      </c>
      <c r="K19" s="26">
        <f t="shared" si="0"/>
        <v>20.621510848493184</v>
      </c>
      <c r="L19" s="26">
        <f t="shared" si="0"/>
        <v>20.549359763643864</v>
      </c>
      <c r="M19" s="26">
        <f t="shared" si="0"/>
        <v>20.477208678794547</v>
      </c>
      <c r="N19" s="26">
        <f t="shared" si="0"/>
        <v>20.40505759394523</v>
      </c>
      <c r="O19" s="26">
        <f t="shared" si="0"/>
        <v>20.33290650909591</v>
      </c>
      <c r="P19" s="26">
        <f t="shared" si="0"/>
        <v>20.260755424246589</v>
      </c>
      <c r="Q19" s="26">
        <f t="shared" si="0"/>
        <v>20.188604339397273</v>
      </c>
      <c r="R19" s="26">
        <f t="shared" si="0"/>
        <v>20.116453254547956</v>
      </c>
      <c r="S19" s="26">
        <f t="shared" si="0"/>
        <v>20.044302169698636</v>
      </c>
      <c r="T19" s="26">
        <f t="shared" si="0"/>
        <v>19.972151084849315</v>
      </c>
      <c r="U19" s="245">
        <f t="shared" si="0"/>
        <v>19.899999999999999</v>
      </c>
      <c r="V19" s="245">
        <f t="shared" ref="V19:AA19" si="1">U19-$V$17</f>
        <v>19.827848915150682</v>
      </c>
      <c r="W19" s="245">
        <f t="shared" si="1"/>
        <v>19.755697830301365</v>
      </c>
      <c r="X19" s="245">
        <f t="shared" si="1"/>
        <v>19.683546745452048</v>
      </c>
      <c r="Y19" s="245">
        <f t="shared" si="1"/>
        <v>19.611395660602732</v>
      </c>
      <c r="Z19" s="245">
        <f t="shared" si="1"/>
        <v>19.539244575753415</v>
      </c>
      <c r="AA19" s="245">
        <f t="shared" si="1"/>
        <v>19.467093490904098</v>
      </c>
      <c r="AB19" s="296" t="s">
        <v>522</v>
      </c>
    </row>
    <row r="20" spans="1:28" s="74" customFormat="1">
      <c r="A20" s="26" t="s">
        <v>215</v>
      </c>
      <c r="B20" s="26"/>
      <c r="C20" s="245">
        <f>($C$18/C19)+(5/60)</f>
        <v>0.16777239568782365</v>
      </c>
      <c r="D20" s="245">
        <f t="shared" ref="D20:U20" si="2">($C$18/D19)+(5/60)</f>
        <v>0.16806077048797802</v>
      </c>
      <c r="E20" s="245">
        <f t="shared" si="2"/>
        <v>0.16835112174317465</v>
      </c>
      <c r="F20" s="245">
        <f t="shared" si="2"/>
        <v>0.16864346984254222</v>
      </c>
      <c r="G20" s="245">
        <f t="shared" si="2"/>
        <v>0.168937835456623</v>
      </c>
      <c r="H20" s="245">
        <f t="shared" si="2"/>
        <v>0.16923423954224476</v>
      </c>
      <c r="I20" s="245">
        <f t="shared" si="2"/>
        <v>0.16953270334749443</v>
      </c>
      <c r="J20" s="245">
        <f t="shared" si="2"/>
        <v>0.16983324841679548</v>
      </c>
      <c r="K20" s="245">
        <f t="shared" si="2"/>
        <v>0.1701358965960923</v>
      </c>
      <c r="L20" s="245">
        <f t="shared" si="2"/>
        <v>0.17044067003814328</v>
      </c>
      <c r="M20" s="245">
        <f t="shared" si="2"/>
        <v>0.17074759120792632</v>
      </c>
      <c r="N20" s="245">
        <f t="shared" si="2"/>
        <v>0.17105668288815862</v>
      </c>
      <c r="O20" s="245">
        <f t="shared" si="2"/>
        <v>0.17136796818493436</v>
      </c>
      <c r="P20" s="245">
        <f t="shared" si="2"/>
        <v>0.17168147053348229</v>
      </c>
      <c r="Q20" s="245">
        <f t="shared" si="2"/>
        <v>0.17199721370404747</v>
      </c>
      <c r="R20" s="245">
        <f t="shared" si="2"/>
        <v>0.17231522180789902</v>
      </c>
      <c r="S20" s="245">
        <f t="shared" si="2"/>
        <v>0.17263551930346793</v>
      </c>
      <c r="T20" s="245">
        <f t="shared" si="2"/>
        <v>0.17295813100261781</v>
      </c>
      <c r="U20" s="245">
        <f t="shared" si="2"/>
        <v>0.17328308207705193</v>
      </c>
      <c r="V20" s="245">
        <f t="shared" ref="V20" si="3">($C$18/V19)+(5/60)</f>
        <v>0.17361039806486056</v>
      </c>
      <c r="W20" s="245">
        <f t="shared" ref="W20" si="4">($C$18/W19)+(5/60)</f>
        <v>0.17394010487721123</v>
      </c>
      <c r="X20" s="245">
        <f t="shared" ref="X20" si="5">($C$18/X19)+(5/60)</f>
        <v>0.17427222880518653</v>
      </c>
      <c r="Y20" s="245">
        <f t="shared" ref="Y20" si="6">($C$18/Y19)+(5/60)</f>
        <v>0.17460679652677269</v>
      </c>
      <c r="Z20" s="245">
        <f t="shared" ref="Z20" si="7">($C$18/Z19)+(5/60)</f>
        <v>0.17494383511400308</v>
      </c>
      <c r="AA20" s="245">
        <f t="shared" ref="AA20" si="8">($C$18/AA19)+(5/60)</f>
        <v>0.1752833720402604</v>
      </c>
    </row>
    <row r="21" spans="1:28" s="74" customFormat="1">
      <c r="A21" s="26" t="s">
        <v>130</v>
      </c>
      <c r="B21" s="26"/>
      <c r="C21" s="77">
        <f>'Price Assumptions'!$B$3</f>
        <v>12.5</v>
      </c>
    </row>
    <row r="22" spans="1:28" s="74" customFormat="1">
      <c r="A22" s="26" t="s">
        <v>109</v>
      </c>
      <c r="B22" s="26"/>
      <c r="C22" s="94">
        <f>C20*C21</f>
        <v>2.0971549460977954</v>
      </c>
    </row>
    <row r="23" spans="1:28" s="74" customFormat="1">
      <c r="A23" t="s">
        <v>449</v>
      </c>
      <c r="B23" s="82"/>
      <c r="C23" s="371">
        <f>4.75/2</f>
        <v>2.375</v>
      </c>
    </row>
    <row r="24" spans="1:28" s="74" customFormat="1">
      <c r="A24" s="26" t="s">
        <v>110</v>
      </c>
      <c r="B24" s="26"/>
      <c r="C24" s="90">
        <f>(C14*C18)+C23</f>
        <v>2.9782299999999999</v>
      </c>
    </row>
    <row r="25" spans="1:28" s="74" customFormat="1"/>
    <row r="26" spans="1:28" s="74" customFormat="1">
      <c r="A26" s="242" t="s">
        <v>525</v>
      </c>
      <c r="B26"/>
      <c r="C26"/>
    </row>
    <row r="27" spans="1:28" s="74" customFormat="1">
      <c r="A27" t="s">
        <v>207</v>
      </c>
      <c r="B27" s="26"/>
      <c r="C27" s="26">
        <v>6.5</v>
      </c>
    </row>
    <row r="28" spans="1:28" s="74" customFormat="1">
      <c r="A28" s="26" t="s">
        <v>106</v>
      </c>
      <c r="B28" s="26"/>
      <c r="C28" s="26">
        <f>C19</f>
        <v>21.198719527287729</v>
      </c>
      <c r="D28" s="26">
        <f t="shared" ref="D28:AA28" si="9">D19</f>
        <v>21.126568442438412</v>
      </c>
      <c r="E28" s="26">
        <f t="shared" si="9"/>
        <v>21.054417357589095</v>
      </c>
      <c r="F28" s="26">
        <f t="shared" si="9"/>
        <v>20.982266272739778</v>
      </c>
      <c r="G28" s="26">
        <f t="shared" si="9"/>
        <v>20.910115187890458</v>
      </c>
      <c r="H28" s="26">
        <f t="shared" si="9"/>
        <v>20.837964103041138</v>
      </c>
      <c r="I28" s="26">
        <f t="shared" si="9"/>
        <v>20.765813018191821</v>
      </c>
      <c r="J28" s="26">
        <f t="shared" si="9"/>
        <v>20.693661933342504</v>
      </c>
      <c r="K28" s="26">
        <f t="shared" si="9"/>
        <v>20.621510848493184</v>
      </c>
      <c r="L28" s="26">
        <f t="shared" si="9"/>
        <v>20.549359763643864</v>
      </c>
      <c r="M28" s="26">
        <f t="shared" si="9"/>
        <v>20.477208678794547</v>
      </c>
      <c r="N28" s="26">
        <f t="shared" si="9"/>
        <v>20.40505759394523</v>
      </c>
      <c r="O28" s="26">
        <f t="shared" si="9"/>
        <v>20.33290650909591</v>
      </c>
      <c r="P28" s="26">
        <f t="shared" si="9"/>
        <v>20.260755424246589</v>
      </c>
      <c r="Q28" s="26">
        <f t="shared" si="9"/>
        <v>20.188604339397273</v>
      </c>
      <c r="R28" s="26">
        <f t="shared" si="9"/>
        <v>20.116453254547956</v>
      </c>
      <c r="S28" s="26">
        <f t="shared" si="9"/>
        <v>20.044302169698636</v>
      </c>
      <c r="T28" s="26">
        <f t="shared" si="9"/>
        <v>19.972151084849315</v>
      </c>
      <c r="U28" s="26">
        <f t="shared" si="9"/>
        <v>19.899999999999999</v>
      </c>
      <c r="V28" s="26">
        <f t="shared" si="9"/>
        <v>19.827848915150682</v>
      </c>
      <c r="W28" s="26">
        <f t="shared" si="9"/>
        <v>19.755697830301365</v>
      </c>
      <c r="X28" s="26">
        <f t="shared" si="9"/>
        <v>19.683546745452048</v>
      </c>
      <c r="Y28" s="26">
        <f t="shared" si="9"/>
        <v>19.611395660602732</v>
      </c>
      <c r="Z28" s="26">
        <f t="shared" si="9"/>
        <v>19.539244575753415</v>
      </c>
      <c r="AA28" s="26">
        <f t="shared" si="9"/>
        <v>19.467093490904098</v>
      </c>
    </row>
    <row r="29" spans="1:28" s="74" customFormat="1">
      <c r="A29" t="s">
        <v>214</v>
      </c>
      <c r="B29" s="26"/>
      <c r="C29" s="245">
        <f>($C$27/C28)+(5/60)</f>
        <v>0.38995562679935958</v>
      </c>
      <c r="D29" s="245">
        <f t="shared" ref="D29:AA29" si="10">($C$27/D28)+(5/60)</f>
        <v>0.39100279786137265</v>
      </c>
      <c r="E29" s="245">
        <f t="shared" si="10"/>
        <v>0.39205714599476826</v>
      </c>
      <c r="F29" s="245">
        <f t="shared" si="10"/>
        <v>0.39311874523828177</v>
      </c>
      <c r="G29" s="245">
        <f t="shared" si="10"/>
        <v>0.39418767065254157</v>
      </c>
      <c r="H29" s="245">
        <f t="shared" si="10"/>
        <v>0.39526399833776032</v>
      </c>
      <c r="I29" s="245">
        <f t="shared" si="10"/>
        <v>0.39634780545179538</v>
      </c>
      <c r="J29" s="245">
        <f t="shared" si="10"/>
        <v>0.39743917022858699</v>
      </c>
      <c r="K29" s="245">
        <f t="shared" si="10"/>
        <v>0.39853817199698321</v>
      </c>
      <c r="L29" s="245">
        <f t="shared" si="10"/>
        <v>0.39964489119996166</v>
      </c>
      <c r="M29" s="245">
        <f t="shared" si="10"/>
        <v>0.40075940941425758</v>
      </c>
      <c r="N29" s="245">
        <f t="shared" si="10"/>
        <v>0.40188180937040846</v>
      </c>
      <c r="O29" s="245">
        <f t="shared" si="10"/>
        <v>0.40301217497322528</v>
      </c>
      <c r="P29" s="245">
        <f t="shared" si="10"/>
        <v>0.40415059132270104</v>
      </c>
      <c r="Q29" s="245">
        <f t="shared" si="10"/>
        <v>0.40529714473536788</v>
      </c>
      <c r="R29" s="245">
        <f t="shared" si="10"/>
        <v>0.40645192276611369</v>
      </c>
      <c r="S29" s="245">
        <f t="shared" si="10"/>
        <v>0.40761501423047014</v>
      </c>
      <c r="T29" s="245">
        <f t="shared" si="10"/>
        <v>0.40878650922738302</v>
      </c>
      <c r="U29" s="245">
        <f t="shared" si="10"/>
        <v>0.40996649916247907</v>
      </c>
      <c r="V29" s="245">
        <f t="shared" si="10"/>
        <v>0.41115507677183999</v>
      </c>
      <c r="W29" s="245">
        <f t="shared" si="10"/>
        <v>0.41235233614629774</v>
      </c>
      <c r="X29" s="245">
        <f t="shared" si="10"/>
        <v>0.41355837275626389</v>
      </c>
      <c r="Y29" s="245">
        <f t="shared" si="10"/>
        <v>0.41477328347710757</v>
      </c>
      <c r="Z29" s="245">
        <f t="shared" si="10"/>
        <v>0.415997166615095</v>
      </c>
      <c r="AA29" s="245">
        <f t="shared" si="10"/>
        <v>0.41723012193390652</v>
      </c>
    </row>
    <row r="30" spans="1:28" s="74" customFormat="1">
      <c r="A30" s="26" t="s">
        <v>130</v>
      </c>
      <c r="B30" s="26"/>
      <c r="C30" s="77">
        <f>'Price Assumptions'!$B$3</f>
        <v>12.5</v>
      </c>
    </row>
    <row r="31" spans="1:28" s="74" customFormat="1">
      <c r="A31" s="26" t="s">
        <v>109</v>
      </c>
      <c r="B31" s="26"/>
      <c r="C31" s="94">
        <f>C29*C30</f>
        <v>4.8744453349919947</v>
      </c>
    </row>
    <row r="32" spans="1:28" s="74" customFormat="1">
      <c r="A32" t="s">
        <v>449</v>
      </c>
      <c r="B32" s="82"/>
      <c r="C32" s="371">
        <v>6</v>
      </c>
    </row>
    <row r="33" spans="1:27" s="74" customFormat="1">
      <c r="A33" s="26" t="s">
        <v>110</v>
      </c>
      <c r="B33" s="26"/>
      <c r="C33" s="90">
        <f>($C$14*C27)+C32</f>
        <v>8.1905000000000001</v>
      </c>
    </row>
    <row r="34" spans="1:27" s="74" customFormat="1">
      <c r="A34" s="26"/>
      <c r="B34" s="26"/>
      <c r="C34" s="90"/>
    </row>
    <row r="35" spans="1:27" s="74" customFormat="1">
      <c r="A35" s="242" t="s">
        <v>526</v>
      </c>
      <c r="B35" s="26"/>
      <c r="C35" s="90"/>
    </row>
    <row r="36" spans="1:27" s="74" customFormat="1">
      <c r="A36" t="s">
        <v>207</v>
      </c>
      <c r="B36" s="26"/>
      <c r="C36" s="26">
        <v>25</v>
      </c>
    </row>
    <row r="37" spans="1:27" s="74" customFormat="1">
      <c r="A37" s="26" t="s">
        <v>106</v>
      </c>
      <c r="B37" s="26"/>
      <c r="C37" s="241">
        <v>40</v>
      </c>
      <c r="D37" s="241">
        <f>C37-$V$17</f>
        <v>39.927848915150683</v>
      </c>
      <c r="E37" s="241">
        <f t="shared" ref="E37:AA37" si="11">D37-$V$17</f>
        <v>39.855697830301366</v>
      </c>
      <c r="F37" s="241">
        <f t="shared" si="11"/>
        <v>39.78354674545205</v>
      </c>
      <c r="G37" s="241">
        <f t="shared" si="11"/>
        <v>39.711395660602733</v>
      </c>
      <c r="H37" s="241">
        <f t="shared" si="11"/>
        <v>39.639244575753416</v>
      </c>
      <c r="I37" s="241">
        <f t="shared" si="11"/>
        <v>39.567093490904099</v>
      </c>
      <c r="J37" s="241">
        <f t="shared" si="11"/>
        <v>39.494942406054783</v>
      </c>
      <c r="K37" s="241">
        <f t="shared" si="11"/>
        <v>39.422791321205466</v>
      </c>
      <c r="L37" s="241">
        <f t="shared" si="11"/>
        <v>39.350640236356149</v>
      </c>
      <c r="M37" s="241">
        <f t="shared" si="11"/>
        <v>39.278489151506832</v>
      </c>
      <c r="N37" s="241">
        <f t="shared" si="11"/>
        <v>39.206338066657516</v>
      </c>
      <c r="O37" s="241">
        <f t="shared" si="11"/>
        <v>39.134186981808199</v>
      </c>
      <c r="P37" s="241">
        <f t="shared" si="11"/>
        <v>39.062035896958882</v>
      </c>
      <c r="Q37" s="241">
        <f t="shared" si="11"/>
        <v>38.989884812109565</v>
      </c>
      <c r="R37" s="241">
        <f t="shared" si="11"/>
        <v>38.917733727260249</v>
      </c>
      <c r="S37" s="241">
        <f t="shared" si="11"/>
        <v>38.845582642410932</v>
      </c>
      <c r="T37" s="241">
        <f t="shared" si="11"/>
        <v>38.773431557561615</v>
      </c>
      <c r="U37" s="241">
        <f t="shared" si="11"/>
        <v>38.701280472712298</v>
      </c>
      <c r="V37" s="241">
        <f t="shared" si="11"/>
        <v>38.629129387862982</v>
      </c>
      <c r="W37" s="241">
        <f t="shared" si="11"/>
        <v>38.556978303013665</v>
      </c>
      <c r="X37" s="241">
        <f t="shared" si="11"/>
        <v>38.484827218164348</v>
      </c>
      <c r="Y37" s="241">
        <f t="shared" si="11"/>
        <v>38.412676133315031</v>
      </c>
      <c r="Z37" s="241">
        <f t="shared" si="11"/>
        <v>38.340525048465715</v>
      </c>
      <c r="AA37" s="241">
        <f t="shared" si="11"/>
        <v>38.268373963616398</v>
      </c>
    </row>
    <row r="38" spans="1:27" s="74" customFormat="1">
      <c r="A38" t="s">
        <v>214</v>
      </c>
      <c r="B38" s="26"/>
      <c r="C38" s="245">
        <f>($C$36/C37)+(5/60)</f>
        <v>0.70833333333333337</v>
      </c>
      <c r="D38" s="245">
        <f t="shared" ref="D38:AA38" si="12">($C$36/D37)+(5/60)</f>
        <v>0.70946273121616577</v>
      </c>
      <c r="E38" s="245">
        <f t="shared" si="12"/>
        <v>0.71059621821482899</v>
      </c>
      <c r="F38" s="245">
        <f t="shared" si="12"/>
        <v>0.71173381657727475</v>
      </c>
      <c r="G38" s="245">
        <f t="shared" si="12"/>
        <v>0.71287554871314296</v>
      </c>
      <c r="H38" s="245">
        <f t="shared" si="12"/>
        <v>0.7140214371952327</v>
      </c>
      <c r="I38" s="245">
        <f t="shared" si="12"/>
        <v>0.71517150476099045</v>
      </c>
      <c r="J38" s="245">
        <f t="shared" si="12"/>
        <v>0.71632577431401367</v>
      </c>
      <c r="K38" s="245">
        <f t="shared" si="12"/>
        <v>0.71748426892557116</v>
      </c>
      <c r="L38" s="245">
        <f t="shared" si="12"/>
        <v>0.71864701183614055</v>
      </c>
      <c r="M38" s="245">
        <f t="shared" si="12"/>
        <v>0.71981402645696213</v>
      </c>
      <c r="N38" s="245">
        <f t="shared" si="12"/>
        <v>0.72098533637161</v>
      </c>
      <c r="O38" s="245">
        <f t="shared" si="12"/>
        <v>0.72216096533758134</v>
      </c>
      <c r="P38" s="245">
        <f t="shared" si="12"/>
        <v>0.72334093728790194</v>
      </c>
      <c r="Q38" s="245">
        <f t="shared" si="12"/>
        <v>0.72452527633275055</v>
      </c>
      <c r="R38" s="245">
        <f t="shared" si="12"/>
        <v>0.72571400676110143</v>
      </c>
      <c r="S38" s="245">
        <f t="shared" si="12"/>
        <v>0.72690715304238396</v>
      </c>
      <c r="T38" s="245">
        <f t="shared" si="12"/>
        <v>0.72810473982816259</v>
      </c>
      <c r="U38" s="245">
        <f t="shared" si="12"/>
        <v>0.72930679195383386</v>
      </c>
      <c r="V38" s="245">
        <f t="shared" si="12"/>
        <v>0.7305133344403435</v>
      </c>
      <c r="W38" s="245">
        <f t="shared" si="12"/>
        <v>0.73172439249592258</v>
      </c>
      <c r="X38" s="245">
        <f t="shared" si="12"/>
        <v>0.73293999151784295</v>
      </c>
      <c r="Y38" s="245">
        <f t="shared" si="12"/>
        <v>0.73416015709419302</v>
      </c>
      <c r="Z38" s="245">
        <f t="shared" si="12"/>
        <v>0.73538491500567238</v>
      </c>
      <c r="AA38" s="245">
        <f t="shared" si="12"/>
        <v>0.7366142912274084</v>
      </c>
    </row>
    <row r="39" spans="1:27" s="74" customFormat="1">
      <c r="A39" s="26" t="s">
        <v>130</v>
      </c>
      <c r="B39" s="26"/>
      <c r="C39" s="77">
        <f>'Price Assumptions'!$B$3</f>
        <v>12.5</v>
      </c>
    </row>
    <row r="40" spans="1:27" s="74" customFormat="1">
      <c r="A40" s="26" t="s">
        <v>109</v>
      </c>
      <c r="B40" s="26"/>
      <c r="C40" s="94">
        <f>C38*C39</f>
        <v>8.8541666666666679</v>
      </c>
    </row>
    <row r="41" spans="1:27" s="74" customFormat="1">
      <c r="A41" t="s">
        <v>449</v>
      </c>
      <c r="B41" s="82"/>
      <c r="C41" s="371">
        <f>C32</f>
        <v>6</v>
      </c>
    </row>
    <row r="42" spans="1:27" s="74" customFormat="1">
      <c r="A42" s="26" t="s">
        <v>110</v>
      </c>
      <c r="B42" s="26"/>
      <c r="C42" s="90">
        <f>($C$14*C36)+C41</f>
        <v>14.425000000000001</v>
      </c>
    </row>
    <row r="43" spans="1:27" s="74" customFormat="1">
      <c r="A43" s="242"/>
      <c r="B43" s="26"/>
      <c r="C43" s="90"/>
    </row>
    <row r="44" spans="1:27" s="74" customFormat="1">
      <c r="A44" s="256" t="s">
        <v>546</v>
      </c>
      <c r="B44" s="181" t="s">
        <v>548</v>
      </c>
      <c r="D44" s="79"/>
    </row>
    <row r="45" spans="1:27" s="74" customFormat="1">
      <c r="A45" s="256" t="s">
        <v>547</v>
      </c>
      <c r="B45" s="128">
        <v>2.5000000000000001E-2</v>
      </c>
      <c r="C45" s="321">
        <f>C$14*B45</f>
        <v>8.4250000000000002E-3</v>
      </c>
      <c r="D45" s="79"/>
    </row>
    <row r="46" spans="1:27" s="74" customFormat="1">
      <c r="A46" s="256"/>
      <c r="B46" s="128">
        <f>3300/5280</f>
        <v>0.625</v>
      </c>
      <c r="C46" s="321">
        <f>C$14*B46</f>
        <v>0.21062500000000001</v>
      </c>
      <c r="D46" s="79"/>
    </row>
    <row r="47" spans="1:27" s="74" customFormat="1">
      <c r="A47" s="256"/>
      <c r="B47" s="128"/>
      <c r="D47" s="79"/>
    </row>
    <row r="48" spans="1:27" s="74" customFormat="1">
      <c r="A48" s="181"/>
      <c r="B48" s="128"/>
      <c r="D48" s="79"/>
    </row>
    <row r="49" spans="1:4" s="74" customFormat="1">
      <c r="A49" s="320" t="s">
        <v>112</v>
      </c>
      <c r="B49" s="80"/>
      <c r="C49" s="80"/>
      <c r="D49" s="79"/>
    </row>
    <row r="50" spans="1:4" s="74" customFormat="1">
      <c r="A50" s="26" t="s">
        <v>186</v>
      </c>
      <c r="B50" s="26"/>
      <c r="C50" s="26">
        <v>0.75</v>
      </c>
      <c r="D50" s="237"/>
    </row>
    <row r="51" spans="1:4" s="74" customFormat="1">
      <c r="A51" s="26" t="s">
        <v>103</v>
      </c>
      <c r="B51" s="26"/>
      <c r="C51" s="26">
        <v>3.2</v>
      </c>
      <c r="D51" s="25"/>
    </row>
    <row r="52" spans="1:4" s="74" customFormat="1">
      <c r="A52" t="s">
        <v>105</v>
      </c>
      <c r="B52"/>
      <c r="C52" s="246">
        <f>C50/C51</f>
        <v>0.234375</v>
      </c>
      <c r="D52" s="237"/>
    </row>
    <row r="53" spans="1:4" s="74" customFormat="1">
      <c r="A53" s="26" t="s">
        <v>129</v>
      </c>
      <c r="B53" s="26"/>
      <c r="C53" s="94">
        <f>'Price Assumptions'!$B$6</f>
        <v>12.5</v>
      </c>
      <c r="D53" s="25"/>
    </row>
    <row r="54" spans="1:4" s="74" customFormat="1">
      <c r="A54" s="256" t="s">
        <v>459</v>
      </c>
      <c r="B54" s="128"/>
      <c r="C54" s="94">
        <v>0.05</v>
      </c>
      <c r="D54" s="237"/>
    </row>
    <row r="55" spans="1:4" s="74" customFormat="1">
      <c r="A55" s="256"/>
      <c r="B55" s="128"/>
      <c r="C55" s="94"/>
      <c r="D55" s="237"/>
    </row>
    <row r="56" spans="1:4" s="74" customFormat="1">
      <c r="A56" s="320" t="s">
        <v>434</v>
      </c>
      <c r="B56" s="128"/>
      <c r="D56" s="237"/>
    </row>
    <row r="57" spans="1:4" s="74" customFormat="1">
      <c r="A57" s="26" t="s">
        <v>186</v>
      </c>
      <c r="B57" s="26"/>
      <c r="C57" s="26">
        <v>1.67</v>
      </c>
      <c r="D57" s="237"/>
    </row>
    <row r="58" spans="1:4" s="74" customFormat="1">
      <c r="A58" s="26" t="s">
        <v>477</v>
      </c>
      <c r="B58" s="26"/>
      <c r="C58" s="26">
        <v>12.5</v>
      </c>
      <c r="D58" s="237"/>
    </row>
    <row r="59" spans="1:4" s="74" customFormat="1">
      <c r="A59" s="26" t="s">
        <v>84</v>
      </c>
      <c r="B59"/>
      <c r="C59" s="246">
        <f>C57/C58</f>
        <v>0.1336</v>
      </c>
      <c r="D59" s="79"/>
    </row>
    <row r="60" spans="1:4" s="74" customFormat="1">
      <c r="A60" s="26" t="s">
        <v>129</v>
      </c>
      <c r="B60" s="26"/>
      <c r="C60" s="94">
        <f>'Price Assumptions'!$B$6</f>
        <v>12.5</v>
      </c>
      <c r="D60" s="79"/>
    </row>
    <row r="61" spans="1:4" s="74" customFormat="1">
      <c r="A61" s="256" t="s">
        <v>459</v>
      </c>
      <c r="B61" s="128"/>
      <c r="C61" s="94">
        <v>0.1</v>
      </c>
      <c r="D61" s="237"/>
    </row>
    <row r="62" spans="1:4" s="74" customFormat="1">
      <c r="B62" s="128"/>
      <c r="D62" s="79"/>
    </row>
    <row r="63" spans="1:4" s="74" customFormat="1">
      <c r="A63" s="123" t="s">
        <v>435</v>
      </c>
      <c r="B63" s="128"/>
      <c r="D63" s="79"/>
    </row>
    <row r="64" spans="1:4" s="74" customFormat="1">
      <c r="A64" s="243" t="s">
        <v>450</v>
      </c>
      <c r="B64"/>
      <c r="C64"/>
      <c r="D64" s="79"/>
    </row>
    <row r="65" spans="1:27" s="74" customFormat="1">
      <c r="A65" s="26" t="s">
        <v>153</v>
      </c>
      <c r="B65" s="26"/>
      <c r="C65" s="77">
        <f>'Price Assumptions'!$B$4</f>
        <v>12.5</v>
      </c>
      <c r="D65" s="79"/>
    </row>
    <row r="66" spans="1:27" s="74" customFormat="1">
      <c r="A66" s="26" t="s">
        <v>486</v>
      </c>
      <c r="B66" s="26"/>
      <c r="C66" s="241">
        <f>($C$27/C28)+(15/60)</f>
        <v>0.55662229346602632</v>
      </c>
      <c r="D66" s="245">
        <f t="shared" ref="D66:AA66" si="13">($C$27/D28)+(15/60)</f>
        <v>0.55766946452803934</v>
      </c>
      <c r="E66" s="245">
        <f t="shared" si="13"/>
        <v>0.55872381266143489</v>
      </c>
      <c r="F66" s="245">
        <f t="shared" si="13"/>
        <v>0.55978541190494846</v>
      </c>
      <c r="G66" s="245">
        <f t="shared" si="13"/>
        <v>0.56085433731920831</v>
      </c>
      <c r="H66" s="245">
        <f t="shared" si="13"/>
        <v>0.56193066500442701</v>
      </c>
      <c r="I66" s="245">
        <f t="shared" si="13"/>
        <v>0.56301447211846201</v>
      </c>
      <c r="J66" s="245">
        <f t="shared" si="13"/>
        <v>0.56410583689525362</v>
      </c>
      <c r="K66" s="245">
        <f t="shared" si="13"/>
        <v>0.5652048386636499</v>
      </c>
      <c r="L66" s="245">
        <f t="shared" si="13"/>
        <v>0.56631155786662835</v>
      </c>
      <c r="M66" s="245">
        <f t="shared" si="13"/>
        <v>0.56742607608092421</v>
      </c>
      <c r="N66" s="245">
        <f t="shared" si="13"/>
        <v>0.56854847603707515</v>
      </c>
      <c r="O66" s="245">
        <f t="shared" si="13"/>
        <v>0.56967884163989191</v>
      </c>
      <c r="P66" s="245">
        <f t="shared" si="13"/>
        <v>0.57081725798936778</v>
      </c>
      <c r="Q66" s="245">
        <f t="shared" si="13"/>
        <v>0.57196381140203456</v>
      </c>
      <c r="R66" s="245">
        <f t="shared" si="13"/>
        <v>0.57311858943278038</v>
      </c>
      <c r="S66" s="245">
        <f t="shared" si="13"/>
        <v>0.57428168089713683</v>
      </c>
      <c r="T66" s="245">
        <f t="shared" si="13"/>
        <v>0.57545317589404976</v>
      </c>
      <c r="U66" s="245">
        <f t="shared" si="13"/>
        <v>0.5766331658291457</v>
      </c>
      <c r="V66" s="245">
        <f t="shared" si="13"/>
        <v>0.57782174343850667</v>
      </c>
      <c r="W66" s="245">
        <f t="shared" si="13"/>
        <v>0.57901900281296448</v>
      </c>
      <c r="X66" s="245">
        <f t="shared" si="13"/>
        <v>0.58022503942293058</v>
      </c>
      <c r="Y66" s="245">
        <f t="shared" si="13"/>
        <v>0.58143995014377425</v>
      </c>
      <c r="Z66" s="245">
        <f t="shared" si="13"/>
        <v>0.58266383328176174</v>
      </c>
      <c r="AA66" s="245">
        <f t="shared" si="13"/>
        <v>0.58389678860057326</v>
      </c>
    </row>
    <row r="67" spans="1:27" s="74" customFormat="1">
      <c r="A67" s="26" t="s">
        <v>451</v>
      </c>
      <c r="B67"/>
      <c r="C67" s="94">
        <f>2.72*2</f>
        <v>5.44</v>
      </c>
      <c r="D67" s="79"/>
    </row>
    <row r="68" spans="1:27" s="74" customFormat="1">
      <c r="A68" s="26" t="s">
        <v>109</v>
      </c>
      <c r="B68" s="128"/>
      <c r="C68" s="251">
        <f>C66*C65</f>
        <v>6.9577786683253287</v>
      </c>
      <c r="D68" s="79"/>
    </row>
    <row r="69" spans="1:27" s="74" customFormat="1">
      <c r="A69" s="26" t="s">
        <v>110</v>
      </c>
      <c r="B69" s="128"/>
      <c r="C69" s="251">
        <f>C67</f>
        <v>5.44</v>
      </c>
      <c r="D69" s="79"/>
    </row>
    <row r="70" spans="1:27" s="74" customFormat="1">
      <c r="A70" s="243" t="s">
        <v>476</v>
      </c>
      <c r="D70" s="79"/>
    </row>
    <row r="71" spans="1:27" s="74" customFormat="1">
      <c r="A71" s="26" t="s">
        <v>186</v>
      </c>
      <c r="B71" s="26"/>
      <c r="C71" s="26">
        <v>1</v>
      </c>
      <c r="D71" s="79"/>
    </row>
    <row r="72" spans="1:27" s="74" customFormat="1">
      <c r="A72" s="26" t="s">
        <v>478</v>
      </c>
      <c r="B72" s="26"/>
      <c r="C72" s="26">
        <v>5</v>
      </c>
      <c r="D72" s="79"/>
    </row>
    <row r="73" spans="1:27" s="74" customFormat="1">
      <c r="A73" s="26" t="s">
        <v>479</v>
      </c>
      <c r="B73"/>
      <c r="C73" s="246">
        <f>C71/C72</f>
        <v>0.2</v>
      </c>
      <c r="D73" s="79"/>
    </row>
    <row r="74" spans="1:27" s="74" customFormat="1">
      <c r="A74" s="26" t="s">
        <v>129</v>
      </c>
      <c r="B74" s="26"/>
      <c r="C74" s="94">
        <f>'Price Assumptions'!B6*2</f>
        <v>25</v>
      </c>
      <c r="D74" s="79"/>
    </row>
    <row r="75" spans="1:27" s="74" customFormat="1">
      <c r="A75" s="256" t="s">
        <v>459</v>
      </c>
      <c r="B75" s="128"/>
      <c r="C75" s="258">
        <v>0.3</v>
      </c>
      <c r="D75" s="79"/>
    </row>
    <row r="76" spans="1:27" s="74" customFormat="1">
      <c r="A76" s="256" t="s">
        <v>485</v>
      </c>
      <c r="C76" s="94">
        <v>1.3</v>
      </c>
      <c r="D76" s="79"/>
    </row>
    <row r="77" spans="1:27" s="74" customFormat="1">
      <c r="B77" s="128"/>
      <c r="D77" s="79"/>
    </row>
    <row r="78" spans="1:27" s="74" customFormat="1">
      <c r="B78" s="128"/>
      <c r="D78" s="79"/>
    </row>
    <row r="79" spans="1:27" s="74" customFormat="1">
      <c r="A79" s="181" t="s">
        <v>436</v>
      </c>
      <c r="B79" s="128"/>
      <c r="D79" s="79"/>
    </row>
    <row r="80" spans="1:27" s="79" customFormat="1">
      <c r="A80" s="80" t="s">
        <v>203</v>
      </c>
    </row>
    <row r="81" spans="1:3" s="79" customFormat="1">
      <c r="A81" s="84" t="s">
        <v>437</v>
      </c>
      <c r="C81" s="34">
        <v>10</v>
      </c>
    </row>
    <row r="82" spans="1:3">
      <c r="A82" s="84" t="s">
        <v>195</v>
      </c>
      <c r="B82" s="34"/>
      <c r="C82" s="34">
        <v>100</v>
      </c>
    </row>
    <row r="83" spans="1:3">
      <c r="A83" t="s">
        <v>108</v>
      </c>
      <c r="C83">
        <v>2.5</v>
      </c>
    </row>
    <row r="84" spans="1:3" s="25" customFormat="1">
      <c r="A84" s="25" t="s">
        <v>59</v>
      </c>
      <c r="B84" s="100">
        <f>AVERAGE(C84:C84)</f>
        <v>250</v>
      </c>
      <c r="C84" s="100">
        <f>(C82*C83)</f>
        <v>250</v>
      </c>
    </row>
    <row r="85" spans="1:3" s="25" customFormat="1">
      <c r="A85" s="25" t="s">
        <v>85</v>
      </c>
      <c r="B85" s="234"/>
      <c r="C85" s="100">
        <f>(C84*2)</f>
        <v>500</v>
      </c>
    </row>
    <row r="86" spans="1:3" s="25" customFormat="1">
      <c r="A86" s="25" t="s">
        <v>89</v>
      </c>
      <c r="C86" s="257">
        <v>1.79</v>
      </c>
    </row>
    <row r="87" spans="1:3" s="25" customFormat="1">
      <c r="A87" s="206" t="s">
        <v>86</v>
      </c>
      <c r="B87" s="206"/>
      <c r="C87" s="240">
        <f>(C85*C86)</f>
        <v>895</v>
      </c>
    </row>
    <row r="88" spans="1:3" s="25" customFormat="1"/>
    <row r="89" spans="1:3" s="25" customFormat="1">
      <c r="A89" s="25" t="s">
        <v>80</v>
      </c>
      <c r="C89" s="100">
        <f>C82*10</f>
        <v>1000</v>
      </c>
    </row>
    <row r="90" spans="1:3" s="25" customFormat="1">
      <c r="A90" s="25" t="s">
        <v>217</v>
      </c>
      <c r="C90" s="100">
        <f>C82/C92</f>
        <v>2857.1428571428569</v>
      </c>
    </row>
    <row r="91" spans="1:3" s="25" customFormat="1">
      <c r="A91" s="25" t="s">
        <v>83</v>
      </c>
      <c r="C91" s="100">
        <f>C84*365</f>
        <v>91250</v>
      </c>
    </row>
    <row r="92" spans="1:3" s="25" customFormat="1">
      <c r="A92" s="25" t="s">
        <v>204</v>
      </c>
      <c r="C92" s="235">
        <v>3.5000000000000003E-2</v>
      </c>
    </row>
    <row r="93" spans="1:3" s="25" customFormat="1">
      <c r="A93" s="25" t="s">
        <v>77</v>
      </c>
      <c r="C93" s="25">
        <v>80</v>
      </c>
    </row>
    <row r="94" spans="1:3" s="25" customFormat="1">
      <c r="A94" s="25" t="s">
        <v>78</v>
      </c>
      <c r="C94" s="25">
        <v>5</v>
      </c>
    </row>
    <row r="95" spans="1:3" s="25" customFormat="1">
      <c r="A95" s="206" t="s">
        <v>90</v>
      </c>
      <c r="B95" s="206"/>
      <c r="C95" s="239">
        <f>(((C93/365)*C84)+(C84*C92*C94))/C87</f>
        <v>0.11010560955077678</v>
      </c>
    </row>
    <row r="96" spans="1:3" s="25" customFormat="1"/>
    <row r="97" spans="1:6" s="25" customFormat="1">
      <c r="A97" s="25" t="s">
        <v>79</v>
      </c>
      <c r="B97" s="236">
        <v>50000</v>
      </c>
      <c r="C97" s="236">
        <f>50000*10</f>
        <v>500000</v>
      </c>
    </row>
    <row r="98" spans="1:6" s="25" customFormat="1">
      <c r="A98" s="237" t="s">
        <v>444</v>
      </c>
      <c r="C98" s="236">
        <f>0.3*C91</f>
        <v>27375</v>
      </c>
    </row>
    <row r="99" spans="1:6" s="25" customFormat="1"/>
    <row r="100" spans="1:6" s="25" customFormat="1">
      <c r="C100" s="236"/>
    </row>
    <row r="101" spans="1:6" s="25" customFormat="1">
      <c r="A101" s="25" t="s">
        <v>104</v>
      </c>
      <c r="C101" s="25">
        <v>10</v>
      </c>
    </row>
    <row r="102" spans="1:6" s="25" customFormat="1">
      <c r="A102" s="25" t="s">
        <v>84</v>
      </c>
      <c r="C102" s="25">
        <f>C86/C101</f>
        <v>0.17899999999999999</v>
      </c>
    </row>
    <row r="103" spans="1:6" s="25" customFormat="1">
      <c r="A103" s="237" t="s">
        <v>129</v>
      </c>
      <c r="B103" s="237"/>
      <c r="C103" s="133">
        <f>'Price Assumptions'!B6</f>
        <v>12.5</v>
      </c>
    </row>
    <row r="104" spans="1:6" s="237" customFormat="1">
      <c r="A104" s="237" t="s">
        <v>133</v>
      </c>
      <c r="C104" s="238">
        <f>C103*C102</f>
        <v>2.2374999999999998</v>
      </c>
      <c r="E104" s="238"/>
      <c r="F104" s="238"/>
    </row>
    <row r="105" spans="1:6" s="25" customFormat="1"/>
    <row r="106" spans="1:6" s="26" customFormat="1">
      <c r="A106" s="26" t="s">
        <v>146</v>
      </c>
      <c r="C106" s="98">
        <v>7.7499999999999999E-2</v>
      </c>
    </row>
    <row r="107" spans="1:6" s="26" customFormat="1">
      <c r="A107" s="26" t="s">
        <v>147</v>
      </c>
      <c r="C107" s="98">
        <v>0.5</v>
      </c>
    </row>
    <row r="108" spans="1:6" s="26" customFormat="1">
      <c r="A108" s="26" t="s">
        <v>169</v>
      </c>
      <c r="C108" s="98">
        <v>0.28000000000000003</v>
      </c>
    </row>
    <row r="109" spans="1:6" s="26" customFormat="1">
      <c r="A109" s="26" t="s">
        <v>170</v>
      </c>
      <c r="C109" s="98">
        <v>0.59</v>
      </c>
    </row>
    <row r="110" spans="1:6" s="26" customFormat="1">
      <c r="A110" s="26" t="s">
        <v>92</v>
      </c>
      <c r="C110" s="98">
        <v>8.2600000000000007E-2</v>
      </c>
    </row>
    <row r="111" spans="1:6" s="26" customFormat="1">
      <c r="A111" s="26" t="s">
        <v>175</v>
      </c>
      <c r="C111" s="98">
        <v>0.5</v>
      </c>
    </row>
    <row r="112" spans="1:6" s="26" customFormat="1">
      <c r="A112" s="26" t="s">
        <v>176</v>
      </c>
      <c r="C112" s="65">
        <v>6.5</v>
      </c>
    </row>
    <row r="113" spans="1:3" s="26" customFormat="1">
      <c r="A113" s="26" t="s">
        <v>101</v>
      </c>
      <c r="C113" s="98">
        <v>8.3333333333333329E-2</v>
      </c>
    </row>
    <row r="114" spans="1:3" s="26" customFormat="1">
      <c r="A114" s="26" t="s">
        <v>102</v>
      </c>
      <c r="C114" s="98">
        <v>0.26</v>
      </c>
    </row>
    <row r="115" spans="1:3" s="26" customFormat="1">
      <c r="A115" s="26" t="s">
        <v>143</v>
      </c>
      <c r="C115" s="98">
        <v>2.5000000000000001E-2</v>
      </c>
    </row>
    <row r="116" spans="1:3" s="26" customFormat="1">
      <c r="A116" s="26" t="s">
        <v>144</v>
      </c>
      <c r="C116" s="98">
        <v>0.05</v>
      </c>
    </row>
    <row r="117" spans="1:3" s="26" customFormat="1">
      <c r="A117" s="26" t="s">
        <v>145</v>
      </c>
      <c r="C117" s="65">
        <v>153.75</v>
      </c>
    </row>
    <row r="118" spans="1:3" s="26" customFormat="1">
      <c r="A118" s="26" t="s">
        <v>93</v>
      </c>
      <c r="C118" s="26">
        <v>500</v>
      </c>
    </row>
    <row r="119" spans="1:3" s="26" customFormat="1">
      <c r="A119" s="129" t="s">
        <v>216</v>
      </c>
      <c r="C119" s="131">
        <v>0.6</v>
      </c>
    </row>
    <row r="120" spans="1:3" s="25" customFormat="1">
      <c r="A120" s="132" t="s">
        <v>205</v>
      </c>
      <c r="C120" s="131">
        <v>0.3</v>
      </c>
    </row>
    <row r="121" spans="1:3">
      <c r="A121" s="129" t="s">
        <v>206</v>
      </c>
      <c r="C121" s="131">
        <v>0.4</v>
      </c>
    </row>
    <row r="122" spans="1:3">
      <c r="A122" s="132" t="s">
        <v>205</v>
      </c>
      <c r="C122" s="131">
        <v>0.3</v>
      </c>
    </row>
    <row r="124" spans="1:3">
      <c r="A124" t="s">
        <v>171</v>
      </c>
    </row>
    <row r="125" spans="1:3">
      <c r="A125" t="s">
        <v>172</v>
      </c>
    </row>
    <row r="126" spans="1:3">
      <c r="A126" t="s">
        <v>173</v>
      </c>
    </row>
    <row r="127" spans="1:3">
      <c r="A127" t="s">
        <v>174</v>
      </c>
    </row>
    <row r="129" spans="1:8">
      <c r="A129" s="26"/>
    </row>
    <row r="130" spans="1:8">
      <c r="A130" s="3" t="s">
        <v>113</v>
      </c>
      <c r="B130" s="3"/>
      <c r="C130" s="3"/>
    </row>
    <row r="131" spans="1:8">
      <c r="A131" s="84"/>
      <c r="B131" s="84"/>
      <c r="C131" s="84"/>
      <c r="G131" s="25"/>
    </row>
    <row r="132" spans="1:8">
      <c r="A132" s="84" t="s">
        <v>167</v>
      </c>
      <c r="B132" s="101"/>
      <c r="C132" s="101">
        <v>0.55204917140780141</v>
      </c>
      <c r="G132" s="237" t="s">
        <v>140</v>
      </c>
    </row>
    <row r="133" spans="1:8">
      <c r="A133" s="3"/>
      <c r="B133" s="3"/>
      <c r="C133" s="3"/>
      <c r="G133" s="25"/>
    </row>
    <row r="134" spans="1:8">
      <c r="A134" s="84" t="s">
        <v>136</v>
      </c>
      <c r="B134" s="84"/>
      <c r="C134" s="26">
        <f>(130750000+182292142)/(130750000+182292142+274767272)</f>
        <v>0.53255721079689955</v>
      </c>
      <c r="G134" s="252" t="s">
        <v>188</v>
      </c>
    </row>
    <row r="135" spans="1:8">
      <c r="A135" s="84" t="s">
        <v>137</v>
      </c>
      <c r="B135" s="84"/>
      <c r="C135" s="26">
        <f>274767272/(130750000+182292142+274767272)</f>
        <v>0.46744278920310045</v>
      </c>
      <c r="G135" s="252" t="s">
        <v>188</v>
      </c>
    </row>
    <row r="136" spans="1:8">
      <c r="A136" s="84" t="s">
        <v>138</v>
      </c>
      <c r="B136" s="84"/>
      <c r="C136" s="26">
        <v>33</v>
      </c>
      <c r="G136" s="237" t="s">
        <v>189</v>
      </c>
    </row>
    <row r="137" spans="1:8">
      <c r="A137" s="84" t="s">
        <v>139</v>
      </c>
      <c r="B137" s="84"/>
      <c r="C137" s="26">
        <v>12</v>
      </c>
      <c r="G137" s="237" t="s">
        <v>190</v>
      </c>
    </row>
    <row r="138" spans="1:8">
      <c r="A138" s="84"/>
      <c r="B138" s="84"/>
      <c r="C138" s="26"/>
      <c r="G138" s="237"/>
    </row>
    <row r="139" spans="1:8">
      <c r="A139" s="3" t="s">
        <v>438</v>
      </c>
      <c r="B139" s="3"/>
      <c r="C139" s="3"/>
      <c r="G139" s="237"/>
    </row>
    <row r="140" spans="1:8">
      <c r="A140" s="26" t="s">
        <v>154</v>
      </c>
      <c r="B140" s="26"/>
      <c r="C140" s="26">
        <v>1.5</v>
      </c>
      <c r="G140" s="237" t="s">
        <v>187</v>
      </c>
    </row>
    <row r="141" spans="1:8">
      <c r="A141" s="26" t="s">
        <v>139</v>
      </c>
      <c r="B141" s="26"/>
      <c r="C141" s="26">
        <v>12.1</v>
      </c>
      <c r="G141" s="237"/>
      <c r="H141" s="25"/>
    </row>
    <row r="142" spans="1:8">
      <c r="A142" t="s">
        <v>213</v>
      </c>
      <c r="B142" s="26"/>
      <c r="C142">
        <f>(C140/C141)+(5/60)</f>
        <v>0.20730027548209368</v>
      </c>
      <c r="G142" s="25"/>
      <c r="H142" s="25"/>
    </row>
    <row r="143" spans="1:8">
      <c r="A143" s="26" t="s">
        <v>129</v>
      </c>
      <c r="B143" s="26"/>
      <c r="C143" s="94">
        <f>'Price Assumptions'!$B$5</f>
        <v>12.5</v>
      </c>
      <c r="G143" s="25"/>
      <c r="H143" s="25"/>
    </row>
    <row r="144" spans="1:8">
      <c r="A144" s="26" t="s">
        <v>109</v>
      </c>
      <c r="B144" s="26"/>
      <c r="C144" s="94">
        <f>C142*C143</f>
        <v>2.5912534435261709</v>
      </c>
      <c r="G144" s="25"/>
      <c r="H144" s="25"/>
    </row>
    <row r="145" spans="1:8">
      <c r="A145" s="26" t="s">
        <v>110</v>
      </c>
      <c r="B145" s="26"/>
      <c r="C145" s="15">
        <v>1.3960275535459208</v>
      </c>
      <c r="G145" s="25"/>
      <c r="H145" s="25"/>
    </row>
    <row r="146" spans="1:8">
      <c r="A146" s="26"/>
      <c r="B146" s="26"/>
      <c r="C146" s="82"/>
      <c r="G146" s="25"/>
      <c r="H146" s="25"/>
    </row>
    <row r="147" spans="1:8">
      <c r="A147" s="3" t="s">
        <v>439</v>
      </c>
      <c r="G147" s="25"/>
      <c r="H147" s="25"/>
    </row>
    <row r="148" spans="1:8">
      <c r="A148" t="s">
        <v>135</v>
      </c>
      <c r="B148" s="26"/>
      <c r="C148" s="26">
        <v>6.5</v>
      </c>
      <c r="G148" s="237"/>
      <c r="H148" s="25"/>
    </row>
    <row r="149" spans="1:8">
      <c r="A149" s="26" t="s">
        <v>107</v>
      </c>
      <c r="B149" s="26"/>
      <c r="C149" s="26">
        <f>(C136*C135)+(C137*C134)</f>
        <v>21.816298573265108</v>
      </c>
      <c r="G149" s="25"/>
      <c r="H149" s="25"/>
    </row>
    <row r="150" spans="1:8">
      <c r="A150" t="s">
        <v>213</v>
      </c>
      <c r="B150" s="26"/>
      <c r="C150">
        <f>(C148/C149)+(5/60)</f>
        <v>0.38127571701364549</v>
      </c>
    </row>
    <row r="151" spans="1:8">
      <c r="A151" s="26" t="s">
        <v>129</v>
      </c>
      <c r="B151" s="26"/>
      <c r="C151" s="94">
        <f>'Price Assumptions'!$B$5</f>
        <v>12.5</v>
      </c>
    </row>
    <row r="152" spans="1:8">
      <c r="A152" s="26" t="s">
        <v>109</v>
      </c>
      <c r="B152" s="26"/>
      <c r="C152" s="94">
        <f>C150*C151</f>
        <v>4.765946462670569</v>
      </c>
    </row>
    <row r="153" spans="1:8">
      <c r="A153" s="26" t="s">
        <v>110</v>
      </c>
      <c r="B153" s="26"/>
      <c r="C153" s="15">
        <v>2.107407271835358</v>
      </c>
    </row>
    <row r="154" spans="1:8">
      <c r="A154" t="s">
        <v>159</v>
      </c>
      <c r="C154" s="94">
        <f>'Price Assumptions'!$B$7</f>
        <v>23.9</v>
      </c>
    </row>
    <row r="155" spans="1:8">
      <c r="A155" t="s">
        <v>160</v>
      </c>
      <c r="C155">
        <v>8</v>
      </c>
    </row>
    <row r="156" spans="1:8">
      <c r="A156" t="s">
        <v>168</v>
      </c>
      <c r="C156" s="94">
        <f>'Price Assumptions'!$B$3</f>
        <v>12.5</v>
      </c>
    </row>
    <row r="158" spans="1:8">
      <c r="A158" s="3" t="s">
        <v>526</v>
      </c>
    </row>
    <row r="159" spans="1:8">
      <c r="A159" t="s">
        <v>135</v>
      </c>
      <c r="B159" s="26"/>
      <c r="C159" s="26">
        <v>20</v>
      </c>
    </row>
    <row r="160" spans="1:8">
      <c r="A160" s="26" t="s">
        <v>107</v>
      </c>
      <c r="B160" s="26"/>
      <c r="C160" s="26">
        <v>35</v>
      </c>
    </row>
    <row r="161" spans="1:7">
      <c r="A161" t="s">
        <v>213</v>
      </c>
      <c r="B161" s="26"/>
      <c r="C161">
        <f>(C159/C160)+(5/60)</f>
        <v>0.65476190476190477</v>
      </c>
    </row>
    <row r="162" spans="1:7">
      <c r="A162" s="26" t="s">
        <v>129</v>
      </c>
      <c r="B162" s="26"/>
      <c r="C162" s="94">
        <f>'Price Assumptions'!$B$5</f>
        <v>12.5</v>
      </c>
    </row>
    <row r="163" spans="1:7">
      <c r="A163" s="26" t="s">
        <v>109</v>
      </c>
      <c r="B163" s="26"/>
      <c r="C163" s="94">
        <f>C161*C162</f>
        <v>8.1845238095238102</v>
      </c>
    </row>
    <row r="164" spans="1:7">
      <c r="A164" s="26" t="s">
        <v>110</v>
      </c>
      <c r="B164" s="26"/>
      <c r="C164" s="15">
        <v>5.6070051072443761</v>
      </c>
      <c r="G164" s="26" t="s">
        <v>564</v>
      </c>
    </row>
    <row r="165" spans="1:7">
      <c r="A165" t="s">
        <v>159</v>
      </c>
      <c r="C165" s="94">
        <f>'Price Assumptions'!$B$7</f>
        <v>23.9</v>
      </c>
    </row>
    <row r="166" spans="1:7">
      <c r="A166" t="s">
        <v>160</v>
      </c>
      <c r="C166">
        <v>8</v>
      </c>
    </row>
    <row r="167" spans="1:7">
      <c r="A167" s="76" t="s">
        <v>168</v>
      </c>
      <c r="C167" s="94">
        <f>'Price Assumptions'!$B$3</f>
        <v>12.5</v>
      </c>
    </row>
    <row r="168" spans="1:7">
      <c r="A168" s="76"/>
    </row>
    <row r="170" spans="1:7">
      <c r="A170" s="3" t="s">
        <v>345</v>
      </c>
    </row>
    <row r="171" spans="1:7">
      <c r="A171" s="3"/>
    </row>
    <row r="172" spans="1:7">
      <c r="A172" s="26" t="s">
        <v>531</v>
      </c>
      <c r="C172" s="199">
        <v>3285</v>
      </c>
    </row>
    <row r="173" spans="1:7">
      <c r="A173" s="276" t="s">
        <v>161</v>
      </c>
      <c r="C173" s="199"/>
    </row>
    <row r="174" spans="1:7">
      <c r="A174" s="277" t="s">
        <v>162</v>
      </c>
      <c r="C174" s="199">
        <v>18600</v>
      </c>
      <c r="D174" s="528" t="s">
        <v>638</v>
      </c>
    </row>
    <row r="175" spans="1:7">
      <c r="A175" s="277" t="s">
        <v>163</v>
      </c>
      <c r="C175" s="199">
        <v>291400</v>
      </c>
      <c r="D175" s="528" t="s">
        <v>639</v>
      </c>
    </row>
    <row r="176" spans="1:7">
      <c r="A176" s="277" t="s">
        <v>164</v>
      </c>
      <c r="C176" s="199">
        <v>651000</v>
      </c>
    </row>
    <row r="177" spans="1:20">
      <c r="A177" s="277" t="s">
        <v>165</v>
      </c>
      <c r="C177" s="199">
        <v>1649200</v>
      </c>
    </row>
    <row r="178" spans="1:20">
      <c r="A178" s="277" t="s">
        <v>166</v>
      </c>
      <c r="C178" s="199">
        <v>3676600</v>
      </c>
    </row>
    <row r="179" spans="1:20">
      <c r="A179" s="277" t="s">
        <v>191</v>
      </c>
      <c r="C179" s="199">
        <v>6200000</v>
      </c>
    </row>
    <row r="181" spans="1:20">
      <c r="A181" s="180" t="s">
        <v>535</v>
      </c>
      <c r="D181" s="26" t="s">
        <v>539</v>
      </c>
    </row>
    <row r="182" spans="1:20" ht="15">
      <c r="A182" s="319" t="s">
        <v>545</v>
      </c>
      <c r="C182" s="309">
        <v>120523032</v>
      </c>
      <c r="D182" s="26"/>
    </row>
    <row r="183" spans="1:20" ht="15">
      <c r="A183" s="307" t="s">
        <v>532</v>
      </c>
      <c r="C183" s="309">
        <v>82000</v>
      </c>
      <c r="D183">
        <f>C183/$C$182/365</f>
        <v>1.8640215942009768E-6</v>
      </c>
    </row>
    <row r="184" spans="1:20" ht="15">
      <c r="A184" s="307" t="s">
        <v>533</v>
      </c>
      <c r="C184" s="309">
        <v>382</v>
      </c>
      <c r="D184">
        <f>C184/$C$182/365</f>
        <v>8.6836127924972328E-9</v>
      </c>
    </row>
    <row r="185" spans="1:20" ht="15">
      <c r="A185" s="307" t="s">
        <v>534</v>
      </c>
      <c r="C185" s="309">
        <v>35782</v>
      </c>
      <c r="D185">
        <f>C185/$C$182/365</f>
        <v>8.1339537419145546E-7</v>
      </c>
    </row>
    <row r="186" spans="1:20" ht="13.5" thickBot="1"/>
    <row r="187" spans="1:20" ht="16.5" thickBot="1">
      <c r="A187" s="180" t="s">
        <v>536</v>
      </c>
      <c r="D187" s="26" t="s">
        <v>544</v>
      </c>
      <c r="E187" s="310"/>
      <c r="G187" s="311">
        <v>1998</v>
      </c>
      <c r="H187" s="311">
        <v>1999</v>
      </c>
      <c r="I187" s="311">
        <v>2000</v>
      </c>
      <c r="J187" s="311">
        <v>2001</v>
      </c>
      <c r="K187" s="311">
        <v>2002</v>
      </c>
      <c r="L187" s="311">
        <v>2003</v>
      </c>
      <c r="M187" s="311">
        <v>2004</v>
      </c>
      <c r="N187" s="311">
        <v>2005</v>
      </c>
      <c r="O187" s="311">
        <v>2006</v>
      </c>
      <c r="P187" s="311">
        <v>2007</v>
      </c>
      <c r="Q187" s="311">
        <v>2008</v>
      </c>
      <c r="R187" s="311">
        <v>2009</v>
      </c>
      <c r="S187" s="311">
        <v>2010</v>
      </c>
    </row>
    <row r="188" spans="1:20" ht="15.75" thickTop="1">
      <c r="A188" s="307" t="s">
        <v>538</v>
      </c>
      <c r="B188" s="26" t="s">
        <v>549</v>
      </c>
      <c r="C188" s="309">
        <v>2708528.0500000003</v>
      </c>
      <c r="E188" s="310" t="s">
        <v>155</v>
      </c>
      <c r="G188" s="312">
        <v>75</v>
      </c>
      <c r="H188" s="312">
        <v>91</v>
      </c>
      <c r="I188" s="312">
        <v>92</v>
      </c>
      <c r="J188" s="312">
        <v>84</v>
      </c>
      <c r="K188" s="312">
        <v>85</v>
      </c>
      <c r="L188" s="312">
        <v>87</v>
      </c>
      <c r="M188" s="312">
        <v>72</v>
      </c>
      <c r="N188" s="312">
        <v>99</v>
      </c>
      <c r="O188" s="312">
        <v>91</v>
      </c>
      <c r="P188" s="312">
        <v>111</v>
      </c>
      <c r="Q188" s="312">
        <v>87</v>
      </c>
      <c r="R188" s="312">
        <v>82</v>
      </c>
      <c r="S188" s="312">
        <v>86</v>
      </c>
      <c r="T188">
        <f>AVERAGE(G188:S188)</f>
        <v>87.84615384615384</v>
      </c>
    </row>
    <row r="189" spans="1:20">
      <c r="A189" s="307" t="s">
        <v>533</v>
      </c>
      <c r="C189" s="314">
        <f>T189</f>
        <v>81.615384615384613</v>
      </c>
      <c r="D189">
        <f>C189/C188/365</f>
        <v>8.2555465307736857E-8</v>
      </c>
      <c r="E189" s="310" t="s">
        <v>540</v>
      </c>
      <c r="G189" s="312">
        <v>69</v>
      </c>
      <c r="H189" s="312">
        <v>84</v>
      </c>
      <c r="I189" s="312">
        <v>87</v>
      </c>
      <c r="J189" s="312">
        <v>74</v>
      </c>
      <c r="K189" s="312">
        <v>80</v>
      </c>
      <c r="L189" s="312">
        <v>86</v>
      </c>
      <c r="M189" s="312">
        <v>65</v>
      </c>
      <c r="N189" s="312">
        <v>86</v>
      </c>
      <c r="O189" s="312">
        <v>88</v>
      </c>
      <c r="P189" s="312">
        <v>104</v>
      </c>
      <c r="Q189" s="312">
        <v>83</v>
      </c>
      <c r="R189" s="312">
        <v>78</v>
      </c>
      <c r="S189" s="313">
        <v>77</v>
      </c>
      <c r="T189">
        <f>AVERAGE(G189:S189)</f>
        <v>81.615384615384613</v>
      </c>
    </row>
    <row r="190" spans="1:20">
      <c r="A190" s="307" t="s">
        <v>534</v>
      </c>
      <c r="C190" s="314">
        <v>2487.7764857881139</v>
      </c>
      <c r="D190">
        <f>C190/C188/365</f>
        <v>2.5164317528336415E-6</v>
      </c>
      <c r="E190" s="310" t="s">
        <v>541</v>
      </c>
      <c r="G190" s="313">
        <v>6</v>
      </c>
      <c r="H190" s="313">
        <v>7</v>
      </c>
      <c r="I190" s="313">
        <v>5</v>
      </c>
      <c r="J190" s="313">
        <v>10</v>
      </c>
      <c r="K190" s="313">
        <v>5</v>
      </c>
      <c r="L190" s="313">
        <v>1</v>
      </c>
      <c r="M190" s="313">
        <v>7</v>
      </c>
      <c r="N190" s="313">
        <v>13</v>
      </c>
      <c r="O190" s="313">
        <v>3</v>
      </c>
      <c r="P190" s="313">
        <v>7</v>
      </c>
      <c r="Q190" s="313">
        <v>4</v>
      </c>
      <c r="R190" s="313">
        <v>4</v>
      </c>
      <c r="S190" s="313">
        <v>9</v>
      </c>
      <c r="T190">
        <f>AVERAGE(G190:S190)</f>
        <v>6.2307692307692308</v>
      </c>
    </row>
    <row r="193" spans="1:4">
      <c r="A193" s="180" t="s">
        <v>537</v>
      </c>
    </row>
    <row r="194" spans="1:4">
      <c r="A194" s="307" t="s">
        <v>538</v>
      </c>
      <c r="B194" s="26" t="s">
        <v>549</v>
      </c>
      <c r="C194">
        <v>91176.488000000012</v>
      </c>
      <c r="D194" s="26" t="s">
        <v>544</v>
      </c>
    </row>
    <row r="195" spans="1:4">
      <c r="A195" s="307" t="s">
        <v>533</v>
      </c>
      <c r="C195" s="124">
        <v>6.2307692307692308</v>
      </c>
      <c r="D195">
        <f>C195/C194/365</f>
        <v>1.8722590666405648E-7</v>
      </c>
    </row>
    <row r="196" spans="1:4">
      <c r="A196" s="307" t="s">
        <v>534</v>
      </c>
      <c r="C196" s="124">
        <v>290.7790697674418</v>
      </c>
      <c r="D196">
        <f>C196/C194/365</f>
        <v>8.7375046258002826E-6</v>
      </c>
    </row>
  </sheetData>
  <phoneticPr fontId="3" type="noConversion"/>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sheetPr codeName="Sheet2">
    <tabColor indexed="50"/>
  </sheetPr>
  <dimension ref="A1:H25"/>
  <sheetViews>
    <sheetView workbookViewId="0">
      <selection activeCell="C28" sqref="C28"/>
    </sheetView>
  </sheetViews>
  <sheetFormatPr defaultRowHeight="12.75"/>
  <cols>
    <col min="1" max="1" width="45" bestFit="1" customWidth="1"/>
    <col min="2" max="2" width="12.7109375" bestFit="1" customWidth="1"/>
    <col min="3" max="3" width="12.5703125" customWidth="1"/>
    <col min="4" max="4" width="12.7109375" customWidth="1"/>
    <col min="5" max="5" width="9.140625" style="74"/>
    <col min="6" max="6" width="13.140625" style="74" bestFit="1" customWidth="1"/>
    <col min="7" max="7" width="14.28515625" style="74" bestFit="1" customWidth="1"/>
    <col min="8" max="8" width="104.85546875" style="30" bestFit="1" customWidth="1"/>
  </cols>
  <sheetData>
    <row r="1" spans="1:8">
      <c r="C1" s="6">
        <v>10</v>
      </c>
      <c r="D1" s="6">
        <v>90</v>
      </c>
      <c r="H1" s="26"/>
    </row>
    <row r="2" spans="1:8">
      <c r="A2" s="7" t="s">
        <v>44</v>
      </c>
      <c r="B2" s="7" t="s">
        <v>45</v>
      </c>
      <c r="C2" s="7" t="s">
        <v>46</v>
      </c>
      <c r="D2" s="7" t="s">
        <v>47</v>
      </c>
      <c r="E2" s="7" t="s">
        <v>48</v>
      </c>
      <c r="F2" s="7" t="s">
        <v>156</v>
      </c>
      <c r="G2" s="7" t="s">
        <v>157</v>
      </c>
      <c r="H2" s="27" t="s">
        <v>49</v>
      </c>
    </row>
    <row r="3" spans="1:8">
      <c r="A3" s="8" t="s">
        <v>211</v>
      </c>
      <c r="B3" s="9">
        <v>12.5</v>
      </c>
      <c r="C3" s="9"/>
      <c r="D3" s="10"/>
      <c r="E3" s="11">
        <v>2009</v>
      </c>
      <c r="F3" s="11"/>
      <c r="G3" s="11"/>
      <c r="H3" s="529" t="s">
        <v>640</v>
      </c>
    </row>
    <row r="4" spans="1:8">
      <c r="A4" s="8" t="s">
        <v>212</v>
      </c>
      <c r="B4" s="9">
        <f>B3</f>
        <v>12.5</v>
      </c>
      <c r="C4" s="9"/>
      <c r="D4" s="10"/>
      <c r="E4" s="11">
        <v>2009</v>
      </c>
      <c r="F4" s="11"/>
      <c r="G4" s="11"/>
      <c r="H4" s="529" t="s">
        <v>640</v>
      </c>
    </row>
    <row r="5" spans="1:8">
      <c r="A5" s="8" t="s">
        <v>50</v>
      </c>
      <c r="B5" s="9">
        <f>B3</f>
        <v>12.5</v>
      </c>
      <c r="C5" s="10"/>
      <c r="D5" s="10"/>
      <c r="E5" s="11">
        <v>2009</v>
      </c>
      <c r="F5" s="11"/>
      <c r="G5" s="11"/>
      <c r="H5" s="529" t="s">
        <v>640</v>
      </c>
    </row>
    <row r="6" spans="1:8">
      <c r="A6" s="8" t="s">
        <v>120</v>
      </c>
      <c r="B6" s="9">
        <f>B3</f>
        <v>12.5</v>
      </c>
      <c r="C6" s="10"/>
      <c r="D6" s="10"/>
      <c r="E6" s="11">
        <v>2009</v>
      </c>
      <c r="F6" s="11"/>
      <c r="G6" s="11"/>
      <c r="H6" s="529" t="s">
        <v>640</v>
      </c>
    </row>
    <row r="7" spans="1:8">
      <c r="A7" s="8" t="s">
        <v>158</v>
      </c>
      <c r="B7" s="9">
        <v>23.9</v>
      </c>
      <c r="C7" s="10"/>
      <c r="D7" s="10"/>
      <c r="E7" s="11">
        <v>2009</v>
      </c>
      <c r="F7" s="11"/>
      <c r="G7" s="11"/>
      <c r="H7" s="529" t="s">
        <v>640</v>
      </c>
    </row>
    <row r="8" spans="1:8">
      <c r="A8" s="8" t="s">
        <v>76</v>
      </c>
      <c r="B8" s="99"/>
      <c r="C8" s="12"/>
      <c r="D8" s="12"/>
      <c r="E8" s="13"/>
      <c r="F8" s="13"/>
      <c r="G8" s="13"/>
      <c r="H8" s="28" t="s">
        <v>128</v>
      </c>
    </row>
    <row r="9" spans="1:8">
      <c r="A9" s="16" t="s">
        <v>51</v>
      </c>
      <c r="B9" s="17">
        <v>1300</v>
      </c>
      <c r="C9" s="14"/>
      <c r="D9" s="14"/>
      <c r="E9" s="11">
        <v>2011</v>
      </c>
      <c r="F9" s="11"/>
      <c r="G9" s="11"/>
      <c r="H9" s="529" t="s">
        <v>640</v>
      </c>
    </row>
    <row r="10" spans="1:8">
      <c r="A10" s="16" t="s">
        <v>52</v>
      </c>
      <c r="B10" s="17">
        <v>5300</v>
      </c>
      <c r="C10" s="14"/>
      <c r="D10" s="14"/>
      <c r="E10" s="11">
        <v>2011</v>
      </c>
      <c r="F10" s="11"/>
      <c r="G10" s="11"/>
      <c r="H10" s="529" t="s">
        <v>640</v>
      </c>
    </row>
    <row r="11" spans="1:8">
      <c r="A11" s="16" t="s">
        <v>53</v>
      </c>
      <c r="B11" s="17">
        <v>290000</v>
      </c>
      <c r="C11" s="14"/>
      <c r="D11" s="14"/>
      <c r="E11" s="11">
        <v>2011</v>
      </c>
      <c r="F11" s="11"/>
      <c r="G11" s="11"/>
      <c r="H11" s="529" t="s">
        <v>640</v>
      </c>
    </row>
    <row r="12" spans="1:8">
      <c r="A12" s="18" t="s">
        <v>54</v>
      </c>
      <c r="B12" s="17">
        <v>33</v>
      </c>
      <c r="C12" s="19"/>
      <c r="D12" s="19"/>
      <c r="E12" s="11">
        <v>2011</v>
      </c>
      <c r="F12" s="20"/>
      <c r="G12" s="20"/>
      <c r="H12" s="529" t="s">
        <v>640</v>
      </c>
    </row>
    <row r="13" spans="1:8">
      <c r="A13" s="21" t="s">
        <v>55</v>
      </c>
      <c r="B13" s="15">
        <f>B3*0.6</f>
        <v>7.5</v>
      </c>
      <c r="C13" s="15">
        <f>C3*0.6</f>
        <v>0</v>
      </c>
      <c r="D13" s="15">
        <f>D3*0.6</f>
        <v>0</v>
      </c>
      <c r="E13" s="11">
        <v>2008</v>
      </c>
      <c r="F13" s="11"/>
      <c r="G13" s="11"/>
      <c r="H13" s="28" t="s">
        <v>56</v>
      </c>
    </row>
    <row r="14" spans="1:8">
      <c r="A14" s="21" t="s">
        <v>208</v>
      </c>
      <c r="B14" s="15">
        <v>1.9</v>
      </c>
      <c r="C14" s="15"/>
      <c r="D14" s="15"/>
      <c r="E14" s="11">
        <v>2011</v>
      </c>
      <c r="F14" s="11"/>
      <c r="G14" s="11"/>
      <c r="H14" s="28" t="s">
        <v>75</v>
      </c>
    </row>
    <row r="15" spans="1:8">
      <c r="A15" s="21" t="s">
        <v>209</v>
      </c>
      <c r="B15" s="15">
        <v>1.6</v>
      </c>
      <c r="C15" s="15"/>
      <c r="D15" s="15"/>
      <c r="E15" s="11">
        <v>2011</v>
      </c>
      <c r="F15" s="11"/>
      <c r="G15" s="11"/>
      <c r="H15" s="28" t="s">
        <v>75</v>
      </c>
    </row>
    <row r="16" spans="1:8">
      <c r="A16" s="21" t="s">
        <v>142</v>
      </c>
      <c r="B16" s="15"/>
      <c r="C16" s="15"/>
      <c r="D16" s="15"/>
      <c r="E16" s="11"/>
      <c r="F16" s="11"/>
      <c r="G16" s="11"/>
      <c r="H16" s="28" t="s">
        <v>75</v>
      </c>
    </row>
    <row r="17" spans="1:8">
      <c r="A17" s="21" t="s">
        <v>210</v>
      </c>
      <c r="B17" s="15"/>
      <c r="C17" s="15"/>
      <c r="D17" s="15"/>
      <c r="E17" s="11"/>
      <c r="F17" s="11"/>
      <c r="G17" s="11"/>
      <c r="H17" s="28" t="s">
        <v>75</v>
      </c>
    </row>
    <row r="18" spans="1:8">
      <c r="A18" s="21" t="s">
        <v>151</v>
      </c>
      <c r="B18" s="15">
        <f>(1.25*0.58)+(1.35*0.42)</f>
        <v>1.292</v>
      </c>
      <c r="C18" s="15"/>
      <c r="D18" s="15"/>
      <c r="E18" s="11">
        <v>2009</v>
      </c>
      <c r="F18" s="11"/>
      <c r="G18" s="11"/>
      <c r="H18" s="97" t="s">
        <v>141</v>
      </c>
    </row>
    <row r="19" spans="1:8">
      <c r="A19" s="21" t="s">
        <v>150</v>
      </c>
      <c r="B19" s="15">
        <v>5</v>
      </c>
      <c r="C19" s="14"/>
      <c r="D19" s="14"/>
      <c r="E19" s="11">
        <v>2009</v>
      </c>
      <c r="F19" s="11"/>
      <c r="G19" s="11"/>
      <c r="H19" s="28" t="s">
        <v>192</v>
      </c>
    </row>
    <row r="20" spans="1:8" ht="17.25" customHeight="1">
      <c r="A20" s="21" t="s">
        <v>57</v>
      </c>
      <c r="B20" s="15">
        <v>14</v>
      </c>
      <c r="C20" s="14"/>
      <c r="D20" s="14"/>
      <c r="E20" s="11">
        <v>2009</v>
      </c>
      <c r="F20" s="11"/>
      <c r="G20" s="11"/>
      <c r="H20" s="29" t="s">
        <v>124</v>
      </c>
    </row>
    <row r="21" spans="1:8" ht="25.5">
      <c r="A21" s="85" t="s">
        <v>177</v>
      </c>
      <c r="B21" s="14">
        <f>G21/1.007</f>
        <v>5.4413625171743009E-2</v>
      </c>
      <c r="C21" s="14"/>
      <c r="D21" s="14">
        <f>330/365</f>
        <v>0.90410958904109584</v>
      </c>
      <c r="E21" s="11">
        <v>2009</v>
      </c>
      <c r="F21" s="11">
        <v>2008</v>
      </c>
      <c r="G21" s="11">
        <f>20/365</f>
        <v>5.4794520547945202E-2</v>
      </c>
      <c r="H21" s="28" t="s">
        <v>74</v>
      </c>
    </row>
    <row r="22" spans="1:8" ht="25.5">
      <c r="A22" s="85" t="s">
        <v>12</v>
      </c>
      <c r="B22" s="1">
        <v>0.2</v>
      </c>
      <c r="C22" s="1"/>
      <c r="D22" s="1">
        <v>0.5</v>
      </c>
      <c r="E22" s="11"/>
      <c r="F22" s="11"/>
      <c r="G22" s="11"/>
      <c r="H22" s="28" t="s">
        <v>194</v>
      </c>
    </row>
    <row r="23" spans="1:8" ht="25.5">
      <c r="A23" s="85" t="s">
        <v>13</v>
      </c>
      <c r="B23" s="82"/>
      <c r="C23" s="14"/>
      <c r="D23" s="14"/>
      <c r="E23" s="11">
        <v>2009</v>
      </c>
      <c r="F23" s="11">
        <v>2008</v>
      </c>
      <c r="G23" s="14"/>
      <c r="H23" s="28" t="s">
        <v>193</v>
      </c>
    </row>
    <row r="24" spans="1:8">
      <c r="A24" s="1" t="s">
        <v>121</v>
      </c>
      <c r="B24" s="86">
        <v>5.3999999999999999E-2</v>
      </c>
      <c r="C24" s="1"/>
      <c r="D24" s="1"/>
      <c r="E24" s="11">
        <v>2009</v>
      </c>
      <c r="F24" s="11"/>
      <c r="G24" s="11"/>
      <c r="H24" s="28" t="s">
        <v>58</v>
      </c>
    </row>
    <row r="25" spans="1:8">
      <c r="A25" s="1" t="s">
        <v>122</v>
      </c>
      <c r="B25" s="14">
        <v>2.3E-2</v>
      </c>
      <c r="C25" s="1"/>
      <c r="D25" s="1"/>
      <c r="E25" s="11">
        <v>2009</v>
      </c>
      <c r="F25" s="11"/>
      <c r="G25" s="11"/>
      <c r="H25" s="28" t="s">
        <v>58</v>
      </c>
    </row>
  </sheetData>
  <phoneticPr fontId="19" type="noConversion"/>
  <pageMargins left="0.75" right="0.75" top="1" bottom="1" header="0.5" footer="0.5"/>
  <pageSetup orientation="portrait" r:id="rId1"/>
  <headerFooter alignWithMargins="0"/>
</worksheet>
</file>

<file path=xl/worksheets/sheet19.xml><?xml version="1.0" encoding="utf-8"?>
<worksheet xmlns="http://schemas.openxmlformats.org/spreadsheetml/2006/main" xmlns:r="http://schemas.openxmlformats.org/officeDocument/2006/relationships">
  <sheetPr enableFormatConditionsCalculation="0">
    <tabColor indexed="50"/>
  </sheetPr>
  <dimension ref="A1:AG31"/>
  <sheetViews>
    <sheetView workbookViewId="0">
      <pane xSplit="1" ySplit="2" topLeftCell="B3" activePane="bottomRight" state="frozen"/>
      <selection pane="topRight" activeCell="B1" sqref="B1"/>
      <selection pane="bottomLeft" activeCell="A3" sqref="A3"/>
      <selection pane="bottomRight" activeCell="G38" sqref="G38"/>
    </sheetView>
  </sheetViews>
  <sheetFormatPr defaultRowHeight="12.75"/>
  <cols>
    <col min="1" max="1" width="25.85546875" customWidth="1"/>
    <col min="3" max="3" width="7.7109375" bestFit="1" customWidth="1"/>
    <col min="4" max="4" width="11.28515625" bestFit="1" customWidth="1"/>
    <col min="5" max="23" width="9.28515625" bestFit="1" customWidth="1"/>
  </cols>
  <sheetData>
    <row r="1" spans="1:30" s="74" customFormat="1">
      <c r="B1" s="530">
        <v>2009</v>
      </c>
      <c r="C1" s="530">
        <v>2010</v>
      </c>
      <c r="D1" s="530">
        <v>2011</v>
      </c>
      <c r="E1" s="530">
        <v>2012</v>
      </c>
      <c r="F1" s="72">
        <v>2013</v>
      </c>
      <c r="G1" s="72">
        <v>2014</v>
      </c>
      <c r="H1" s="72">
        <v>2015</v>
      </c>
      <c r="I1" s="72">
        <v>2016</v>
      </c>
      <c r="J1" s="72">
        <v>2017</v>
      </c>
      <c r="K1" s="72">
        <v>2018</v>
      </c>
      <c r="L1" s="72">
        <v>2019</v>
      </c>
      <c r="M1" s="72">
        <v>2020</v>
      </c>
      <c r="N1" s="72">
        <v>2021</v>
      </c>
      <c r="O1" s="72">
        <v>2022</v>
      </c>
      <c r="P1" s="72">
        <v>2023</v>
      </c>
      <c r="Q1" s="72">
        <v>2024</v>
      </c>
      <c r="R1" s="72">
        <v>2025</v>
      </c>
      <c r="S1" s="72">
        <v>2026</v>
      </c>
      <c r="T1" s="72">
        <v>2027</v>
      </c>
      <c r="U1" s="72">
        <v>2028</v>
      </c>
      <c r="V1" s="72">
        <v>2029</v>
      </c>
      <c r="W1" s="72">
        <v>2030</v>
      </c>
      <c r="X1" s="72">
        <v>2031</v>
      </c>
      <c r="Y1" s="72">
        <v>2032</v>
      </c>
      <c r="Z1" s="72">
        <v>2033</v>
      </c>
      <c r="AA1" s="72">
        <v>2034</v>
      </c>
      <c r="AB1" s="72">
        <v>2035</v>
      </c>
      <c r="AC1" s="72">
        <v>2036</v>
      </c>
    </row>
    <row r="2" spans="1:30" s="74" customFormat="1">
      <c r="F2" s="72" t="s">
        <v>18</v>
      </c>
      <c r="G2" s="72" t="s">
        <v>19</v>
      </c>
      <c r="H2" s="72" t="s">
        <v>20</v>
      </c>
      <c r="I2" s="72" t="s">
        <v>21</v>
      </c>
      <c r="J2" s="72" t="s">
        <v>22</v>
      </c>
      <c r="K2" s="72" t="s">
        <v>23</v>
      </c>
      <c r="L2" s="72" t="s">
        <v>24</v>
      </c>
      <c r="M2" s="72" t="s">
        <v>25</v>
      </c>
      <c r="N2" s="72" t="s">
        <v>26</v>
      </c>
      <c r="O2" s="72" t="s">
        <v>27</v>
      </c>
      <c r="P2" s="72" t="s">
        <v>28</v>
      </c>
      <c r="Q2" s="72" t="s">
        <v>29</v>
      </c>
      <c r="R2" s="72" t="s">
        <v>30</v>
      </c>
      <c r="S2" s="72" t="s">
        <v>31</v>
      </c>
      <c r="T2" s="72" t="s">
        <v>32</v>
      </c>
      <c r="U2" s="72" t="s">
        <v>33</v>
      </c>
      <c r="V2" s="72" t="s">
        <v>34</v>
      </c>
      <c r="W2" s="72" t="s">
        <v>35</v>
      </c>
      <c r="X2" s="72" t="s">
        <v>36</v>
      </c>
      <c r="Y2" s="72" t="s">
        <v>123</v>
      </c>
      <c r="Z2" s="72" t="s">
        <v>242</v>
      </c>
      <c r="AA2" s="72" t="s">
        <v>243</v>
      </c>
      <c r="AB2" s="72" t="s">
        <v>244</v>
      </c>
      <c r="AC2" s="72" t="s">
        <v>245</v>
      </c>
      <c r="AD2" s="79"/>
    </row>
    <row r="3" spans="1:30">
      <c r="A3" s="23" t="s">
        <v>62</v>
      </c>
    </row>
    <row r="4" spans="1:30">
      <c r="A4" t="s">
        <v>64</v>
      </c>
      <c r="C4">
        <v>0.58109999999999995</v>
      </c>
      <c r="D4">
        <f>((M4-C4)/10)+C4</f>
        <v>0.54696999999999996</v>
      </c>
      <c r="E4">
        <f>((M4-D4)/9)+D4</f>
        <v>0.51283999999999996</v>
      </c>
      <c r="F4">
        <f>((M4-E4)/8)+E4</f>
        <v>0.47870999999999997</v>
      </c>
      <c r="G4">
        <f>((M4-F4)/7)+F4</f>
        <v>0.44457999999999998</v>
      </c>
      <c r="H4">
        <f>((M4-G4)/6)+G4</f>
        <v>0.41044999999999998</v>
      </c>
      <c r="I4">
        <f>((M4-H4)/5)+H4</f>
        <v>0.37631999999999999</v>
      </c>
      <c r="J4">
        <f>((M4-I4)/4)+I4</f>
        <v>0.34218999999999999</v>
      </c>
      <c r="K4">
        <f>((M4-J4)/3)+J4</f>
        <v>0.30806</v>
      </c>
      <c r="L4">
        <f>((M4-K4)/2)+K4</f>
        <v>0.27393000000000001</v>
      </c>
      <c r="M4">
        <v>0.23980000000000001</v>
      </c>
      <c r="N4">
        <f>((W4-M4)/10)+M4</f>
        <v>0.23302</v>
      </c>
      <c r="O4">
        <f>((W4-N4)/9)+N4</f>
        <v>0.22624</v>
      </c>
      <c r="P4">
        <f>((W4-O4)/8)+O4</f>
        <v>0.21945999999999999</v>
      </c>
      <c r="Q4">
        <f>((W4-P4)/7)+P4</f>
        <v>0.21267999999999998</v>
      </c>
      <c r="R4">
        <f>((W4-Q4)/6)+Q4</f>
        <v>0.20589999999999997</v>
      </c>
      <c r="S4">
        <f>((W4-R4)/5)+R4</f>
        <v>0.19911999999999996</v>
      </c>
      <c r="T4">
        <f>((W4-S4)/4)+S4</f>
        <v>0.19233999999999996</v>
      </c>
      <c r="U4">
        <f>((W4-T4)/3)+T4</f>
        <v>0.18555999999999997</v>
      </c>
      <c r="V4">
        <f>((W4-U4)/2)+U4</f>
        <v>0.17877999999999999</v>
      </c>
      <c r="W4">
        <v>0.17199999999999999</v>
      </c>
      <c r="X4">
        <f t="shared" ref="X4" si="0">((Y4-W4)/2)+W4</f>
        <v>0.17199999999999999</v>
      </c>
      <c r="Y4">
        <v>0.17199999999999999</v>
      </c>
      <c r="Z4">
        <f t="shared" ref="Z4" si="1">((AA4-Y4)/2)+Y4</f>
        <v>0.17199999999999999</v>
      </c>
      <c r="AA4">
        <v>0.17199999999999999</v>
      </c>
      <c r="AB4">
        <v>0.17199999999999999</v>
      </c>
      <c r="AC4">
        <v>0.17199999999999999</v>
      </c>
    </row>
    <row r="5" spans="1:30">
      <c r="A5" t="s">
        <v>66</v>
      </c>
      <c r="C5">
        <v>0.38109999999999999</v>
      </c>
      <c r="D5">
        <f>((M5-C5)/10)+C5</f>
        <v>0.35897000000000001</v>
      </c>
      <c r="E5">
        <f>((M5-D5)/9)+D5</f>
        <v>0.33684000000000003</v>
      </c>
      <c r="F5">
        <f>((M5-E5)/8)+E5</f>
        <v>0.31471000000000005</v>
      </c>
      <c r="G5">
        <f>((M5-F5)/7)+F5</f>
        <v>0.29258000000000006</v>
      </c>
      <c r="H5">
        <f>((M5-G5)/6)+G5</f>
        <v>0.27045000000000008</v>
      </c>
      <c r="I5">
        <f>((M5-H5)/5)+H5</f>
        <v>0.24832000000000007</v>
      </c>
      <c r="J5">
        <f>((M5-I5)/4)+I5</f>
        <v>0.22619000000000006</v>
      </c>
      <c r="K5">
        <f>((M5-J5)/3)+J5</f>
        <v>0.20406000000000005</v>
      </c>
      <c r="L5">
        <f>((M5-K5)/2)+K5</f>
        <v>0.18193000000000004</v>
      </c>
      <c r="M5">
        <v>0.1598</v>
      </c>
      <c r="N5">
        <f>((W5-M5)/10)+M5</f>
        <v>0.15725</v>
      </c>
      <c r="O5">
        <f>((W5-N5)/9)+N5</f>
        <v>0.1547</v>
      </c>
      <c r="P5">
        <f>((W5-O5)/8)+O5</f>
        <v>0.15215000000000001</v>
      </c>
      <c r="Q5">
        <f>((W5-P5)/7)+P5</f>
        <v>0.14960000000000001</v>
      </c>
      <c r="R5">
        <f>((W5-Q5)/6)+Q5</f>
        <v>0.14705000000000001</v>
      </c>
      <c r="S5">
        <f>((W5-R5)/5)+R5</f>
        <v>0.14450000000000002</v>
      </c>
      <c r="T5">
        <f>((W5-S5)/4)+S5</f>
        <v>0.14195000000000002</v>
      </c>
      <c r="U5">
        <f>((W5-T5)/3)+T5</f>
        <v>0.13940000000000002</v>
      </c>
      <c r="V5">
        <f>((W5-U5)/2)+U5</f>
        <v>0.13685000000000003</v>
      </c>
      <c r="W5">
        <v>0.1343</v>
      </c>
      <c r="X5">
        <f t="shared" ref="X5" si="2">((Y5-W5)/2)+W5</f>
        <v>0.1343</v>
      </c>
      <c r="Y5">
        <v>0.1343</v>
      </c>
      <c r="Z5">
        <f t="shared" ref="Z5" si="3">((AA5-Y5)/2)+Y5</f>
        <v>0.1343</v>
      </c>
      <c r="AA5">
        <v>0.1343</v>
      </c>
      <c r="AB5">
        <v>0.1343</v>
      </c>
      <c r="AC5">
        <v>0.1343</v>
      </c>
    </row>
    <row r="6" spans="1:30">
      <c r="A6" t="s">
        <v>116</v>
      </c>
      <c r="D6" s="35">
        <f>'Price Assumptions'!$B$10</f>
        <v>5300</v>
      </c>
      <c r="E6" s="35">
        <f>'Price Assumptions'!$B$10</f>
        <v>5300</v>
      </c>
      <c r="F6" s="35">
        <f>'Price Assumptions'!$B$10</f>
        <v>5300</v>
      </c>
      <c r="G6" s="35">
        <f>'Price Assumptions'!$B$10</f>
        <v>5300</v>
      </c>
      <c r="H6" s="35">
        <f>'Price Assumptions'!$B$10</f>
        <v>5300</v>
      </c>
      <c r="I6" s="35">
        <f>'Price Assumptions'!$B$10</f>
        <v>5300</v>
      </c>
      <c r="J6" s="35">
        <f>'Price Assumptions'!$B$10</f>
        <v>5300</v>
      </c>
      <c r="K6" s="35">
        <f>'Price Assumptions'!$B$10</f>
        <v>5300</v>
      </c>
      <c r="L6" s="35">
        <f>'Price Assumptions'!$B$10</f>
        <v>5300</v>
      </c>
      <c r="M6" s="35">
        <f>'Price Assumptions'!$B$10</f>
        <v>5300</v>
      </c>
      <c r="N6" s="35">
        <f>'Price Assumptions'!$B$10</f>
        <v>5300</v>
      </c>
      <c r="O6" s="35">
        <f>'Price Assumptions'!$B$10</f>
        <v>5300</v>
      </c>
      <c r="P6" s="35">
        <f>'Price Assumptions'!$B$10</f>
        <v>5300</v>
      </c>
      <c r="Q6" s="35">
        <f>'Price Assumptions'!$B$10</f>
        <v>5300</v>
      </c>
      <c r="R6" s="35">
        <f>'Price Assumptions'!$B$10</f>
        <v>5300</v>
      </c>
      <c r="S6" s="35">
        <f>'Price Assumptions'!$B$10</f>
        <v>5300</v>
      </c>
      <c r="T6" s="35">
        <f>'Price Assumptions'!$B$10</f>
        <v>5300</v>
      </c>
      <c r="U6" s="35">
        <f>'Price Assumptions'!$B$10</f>
        <v>5300</v>
      </c>
      <c r="V6" s="35">
        <f>'Price Assumptions'!$B$10</f>
        <v>5300</v>
      </c>
      <c r="W6" s="35">
        <f>'Price Assumptions'!$B$10</f>
        <v>5300</v>
      </c>
      <c r="X6" s="35">
        <f>'Price Assumptions'!$B$10</f>
        <v>5300</v>
      </c>
      <c r="Y6" s="35">
        <f>'Price Assumptions'!$B$10</f>
        <v>5300</v>
      </c>
      <c r="Z6" s="35">
        <f>'Price Assumptions'!$B$10</f>
        <v>5300</v>
      </c>
      <c r="AA6" s="35">
        <f>'Price Assumptions'!$B$10</f>
        <v>5300</v>
      </c>
      <c r="AB6" s="35">
        <f>'Price Assumptions'!$B$10</f>
        <v>5300</v>
      </c>
      <c r="AC6" s="35">
        <f>'Price Assumptions'!$B$10</f>
        <v>5300</v>
      </c>
    </row>
    <row r="8" spans="1:30">
      <c r="A8" s="23" t="s">
        <v>43</v>
      </c>
    </row>
    <row r="9" spans="1:30">
      <c r="A9" t="s">
        <v>67</v>
      </c>
      <c r="C9">
        <v>0.95989999999999998</v>
      </c>
      <c r="D9">
        <f>((M9-C9)/10)+C9</f>
        <v>0.91769000000000001</v>
      </c>
      <c r="E9">
        <f>((M9-D9)/9)+D9</f>
        <v>0.87548000000000004</v>
      </c>
      <c r="F9">
        <f>((M9-E9)/8)+E9</f>
        <v>0.83327000000000007</v>
      </c>
      <c r="G9">
        <f>((M9-F9)/7)+F9</f>
        <v>0.7910600000000001</v>
      </c>
      <c r="H9">
        <f>((M9-G9)/6)+G9</f>
        <v>0.74885000000000002</v>
      </c>
      <c r="I9">
        <f>((M9-H9)/5)+H9</f>
        <v>0.70664000000000005</v>
      </c>
      <c r="J9">
        <f>((M9-I9)/4)+I9</f>
        <v>0.66443000000000008</v>
      </c>
      <c r="K9">
        <f>((M9-J9)/3)+J9</f>
        <v>0.62222</v>
      </c>
      <c r="L9">
        <f>((M9-K9)/2)+K9</f>
        <v>0.58000999999999991</v>
      </c>
      <c r="M9">
        <v>0.53779999999999994</v>
      </c>
      <c r="N9">
        <f>((W9-M9)/10)+M9</f>
        <v>0.53118999999999994</v>
      </c>
      <c r="O9">
        <f>((W9-N9)/9)+N9</f>
        <v>0.52457999999999994</v>
      </c>
      <c r="P9">
        <f>((W9-O9)/8)+O9</f>
        <v>0.51796999999999993</v>
      </c>
      <c r="Q9">
        <f>((W9-P9)/7)+P9</f>
        <v>0.51135999999999993</v>
      </c>
      <c r="R9">
        <f>((W9-Q9)/6)+Q9</f>
        <v>0.50474999999999992</v>
      </c>
      <c r="S9">
        <f>((W9-R9)/5)+R9</f>
        <v>0.49813999999999992</v>
      </c>
      <c r="T9">
        <f>((W9-S9)/4)+S9</f>
        <v>0.49152999999999991</v>
      </c>
      <c r="U9">
        <f>((W9-T9)/3)+T9</f>
        <v>0.48491999999999996</v>
      </c>
      <c r="V9">
        <f>((W9-U9)/2)+U9</f>
        <v>0.47831000000000001</v>
      </c>
      <c r="W9">
        <v>0.47170000000000001</v>
      </c>
      <c r="X9">
        <f t="shared" ref="X9" si="4">((Y9-W9)/2)+W9</f>
        <v>0.47170000000000001</v>
      </c>
      <c r="Y9">
        <v>0.47170000000000001</v>
      </c>
      <c r="Z9">
        <f t="shared" ref="Z9" si="5">((AA9-Y9)/2)+Y9</f>
        <v>0.47170000000000001</v>
      </c>
      <c r="AA9">
        <v>0.47170000000000001</v>
      </c>
      <c r="AB9">
        <v>0.47170000000000001</v>
      </c>
      <c r="AC9">
        <v>0.47170000000000001</v>
      </c>
    </row>
    <row r="10" spans="1:30">
      <c r="A10" t="s">
        <v>65</v>
      </c>
      <c r="C10">
        <v>0.16170000000000001</v>
      </c>
      <c r="D10">
        <f>((M10-C10)/10)+C10</f>
        <v>0.15521000000000001</v>
      </c>
      <c r="E10">
        <f>((M10-D10)/9)+D10</f>
        <v>0.14872000000000002</v>
      </c>
      <c r="F10">
        <f>((M10-E10)/8)+E10</f>
        <v>0.14223000000000002</v>
      </c>
      <c r="G10">
        <f>((M10-F10)/7)+F10</f>
        <v>0.13574000000000003</v>
      </c>
      <c r="H10">
        <f>((M10-G10)/6)+G10</f>
        <v>0.12925000000000003</v>
      </c>
      <c r="I10">
        <f>((M10-H10)/5)+H10</f>
        <v>0.12276000000000002</v>
      </c>
      <c r="J10">
        <f>((M10-I10)/4)+I10</f>
        <v>0.11627000000000001</v>
      </c>
      <c r="K10">
        <f>((M10-J10)/3)+J10</f>
        <v>0.10978</v>
      </c>
      <c r="L10">
        <f>((M10-K10)/2)+K10</f>
        <v>0.10328999999999999</v>
      </c>
      <c r="M10">
        <v>9.6799999999999997E-2</v>
      </c>
      <c r="N10">
        <f>((W10-M10)/10)+M10</f>
        <v>9.6169999999999992E-2</v>
      </c>
      <c r="O10">
        <f>((W10-N10)/9)+N10</f>
        <v>9.5539999999999986E-2</v>
      </c>
      <c r="P10">
        <f>((W10-O10)/8)+O10</f>
        <v>9.4909999999999994E-2</v>
      </c>
      <c r="Q10">
        <f>((W10-P10)/7)+P10</f>
        <v>9.4279999999999989E-2</v>
      </c>
      <c r="R10">
        <f>((W10-Q10)/6)+Q10</f>
        <v>9.3649999999999983E-2</v>
      </c>
      <c r="S10">
        <f>((W10-R10)/5)+R10</f>
        <v>9.3019999999999992E-2</v>
      </c>
      <c r="T10">
        <f>((W10-S10)/4)+S10</f>
        <v>9.239E-2</v>
      </c>
      <c r="U10">
        <f>((W10-T10)/3)+T10</f>
        <v>9.1759999999999994E-2</v>
      </c>
      <c r="V10">
        <f>((W10-U10)/2)+U10</f>
        <v>9.1129999999999989E-2</v>
      </c>
      <c r="W10">
        <v>9.0499999999999997E-2</v>
      </c>
      <c r="X10">
        <f t="shared" ref="X10" si="6">((Y10-W10)/2)+W10</f>
        <v>9.0499999999999997E-2</v>
      </c>
      <c r="Y10">
        <v>9.0499999999999997E-2</v>
      </c>
      <c r="Z10">
        <f t="shared" ref="Z10" si="7">((AA10-Y10)/2)+Y10</f>
        <v>9.0499999999999997E-2</v>
      </c>
      <c r="AA10">
        <v>9.0499999999999997E-2</v>
      </c>
      <c r="AB10">
        <v>9.0499999999999997E-2</v>
      </c>
      <c r="AC10">
        <v>9.0499999999999997E-2</v>
      </c>
    </row>
    <row r="11" spans="1:30">
      <c r="A11" t="s">
        <v>68</v>
      </c>
      <c r="C11">
        <v>0.56610000000000005</v>
      </c>
      <c r="D11">
        <f>((M11-C11)/10)+C11</f>
        <v>0.53533000000000008</v>
      </c>
      <c r="E11">
        <f>((M11-D11)/9)+D11</f>
        <v>0.50456000000000012</v>
      </c>
      <c r="F11">
        <f>((M11-E11)/8)+E11</f>
        <v>0.4737900000000001</v>
      </c>
      <c r="G11">
        <f>((M11-F11)/7)+F11</f>
        <v>0.44302000000000008</v>
      </c>
      <c r="H11">
        <f>((M11-G11)/6)+G11</f>
        <v>0.41225000000000006</v>
      </c>
      <c r="I11">
        <f>((M11-H11)/5)+H11</f>
        <v>0.38148000000000004</v>
      </c>
      <c r="J11">
        <f>((M11-I11)/4)+I11</f>
        <v>0.35071000000000002</v>
      </c>
      <c r="K11">
        <f>((M11-J11)/3)+J11</f>
        <v>0.31994</v>
      </c>
      <c r="L11">
        <f>((M11-K11)/2)+K11</f>
        <v>0.28917000000000004</v>
      </c>
      <c r="M11">
        <v>0.25840000000000002</v>
      </c>
      <c r="N11">
        <f>((W11-M11)/10)+M11</f>
        <v>0.25251000000000001</v>
      </c>
      <c r="O11">
        <f>((W11-N11)/9)+N11</f>
        <v>0.24662000000000001</v>
      </c>
      <c r="P11">
        <f>((W11-O11)/8)+O11</f>
        <v>0.24073</v>
      </c>
      <c r="Q11">
        <f>((W11-P11)/7)+P11</f>
        <v>0.23483999999999999</v>
      </c>
      <c r="R11">
        <f>((W11-Q11)/6)+Q11</f>
        <v>0.22894999999999999</v>
      </c>
      <c r="S11">
        <f>((W11-R11)/5)+R11</f>
        <v>0.22305999999999998</v>
      </c>
      <c r="T11">
        <f>((W11-S11)/4)+S11</f>
        <v>0.21716999999999997</v>
      </c>
      <c r="U11">
        <f>((W11-T11)/3)+T11</f>
        <v>0.21128</v>
      </c>
      <c r="V11">
        <f>((W11-U11)/2)+U11</f>
        <v>0.20539000000000002</v>
      </c>
      <c r="W11">
        <v>0.19950000000000001</v>
      </c>
      <c r="X11">
        <f t="shared" ref="X11" si="8">((Y11-W11)/2)+W11</f>
        <v>0.19950000000000001</v>
      </c>
      <c r="Y11">
        <v>0.19950000000000001</v>
      </c>
      <c r="Z11">
        <f t="shared" ref="Z11" si="9">((AA11-Y11)/2)+Y11</f>
        <v>0.19950000000000001</v>
      </c>
      <c r="AA11">
        <v>0.19950000000000001</v>
      </c>
      <c r="AB11">
        <v>0.19950000000000001</v>
      </c>
      <c r="AC11">
        <v>0.19950000000000001</v>
      </c>
    </row>
    <row r="12" spans="1:30">
      <c r="A12" t="s">
        <v>116</v>
      </c>
      <c r="D12" s="35">
        <f>'Price Assumptions'!$B$9</f>
        <v>1300</v>
      </c>
      <c r="E12" s="35">
        <f>'Price Assumptions'!$B$9</f>
        <v>1300</v>
      </c>
      <c r="F12" s="35">
        <f>'Price Assumptions'!$B$9</f>
        <v>1300</v>
      </c>
      <c r="G12" s="35">
        <f>'Price Assumptions'!$B$9</f>
        <v>1300</v>
      </c>
      <c r="H12" s="35">
        <f>'Price Assumptions'!$B$9</f>
        <v>1300</v>
      </c>
      <c r="I12" s="35">
        <f>'Price Assumptions'!$B$9</f>
        <v>1300</v>
      </c>
      <c r="J12" s="35">
        <f>'Price Assumptions'!$B$9</f>
        <v>1300</v>
      </c>
      <c r="K12" s="35">
        <f>'Price Assumptions'!$B$9</f>
        <v>1300</v>
      </c>
      <c r="L12" s="35">
        <f>'Price Assumptions'!$B$9</f>
        <v>1300</v>
      </c>
      <c r="M12" s="35">
        <f>'Price Assumptions'!$B$9</f>
        <v>1300</v>
      </c>
      <c r="N12" s="35">
        <f>'Price Assumptions'!$B$9</f>
        <v>1300</v>
      </c>
      <c r="O12" s="35">
        <f>'Price Assumptions'!$B$9</f>
        <v>1300</v>
      </c>
      <c r="P12" s="35">
        <f>'Price Assumptions'!$B$9</f>
        <v>1300</v>
      </c>
      <c r="Q12" s="35">
        <f>'Price Assumptions'!$B$9</f>
        <v>1300</v>
      </c>
      <c r="R12" s="35">
        <f>'Price Assumptions'!$B$9</f>
        <v>1300</v>
      </c>
      <c r="S12" s="35">
        <f>'Price Assumptions'!$B$9</f>
        <v>1300</v>
      </c>
      <c r="T12" s="35">
        <f>'Price Assumptions'!$B$9</f>
        <v>1300</v>
      </c>
      <c r="U12" s="35">
        <f>'Price Assumptions'!$B$9</f>
        <v>1300</v>
      </c>
      <c r="V12" s="35">
        <f>'Price Assumptions'!$B$9</f>
        <v>1300</v>
      </c>
      <c r="W12" s="35">
        <f>'Price Assumptions'!$B$9</f>
        <v>1300</v>
      </c>
      <c r="X12" s="35">
        <f>'Price Assumptions'!$B$9</f>
        <v>1300</v>
      </c>
      <c r="Y12" s="35">
        <f>'Price Assumptions'!$B$9</f>
        <v>1300</v>
      </c>
      <c r="Z12" s="35">
        <f>'Price Assumptions'!$B$9</f>
        <v>1300</v>
      </c>
      <c r="AA12" s="35">
        <f>'Price Assumptions'!$B$9</f>
        <v>1300</v>
      </c>
      <c r="AB12" s="35">
        <f>'Price Assumptions'!$B$9</f>
        <v>1300</v>
      </c>
      <c r="AC12" s="35">
        <f>'Price Assumptions'!$B$9</f>
        <v>1300</v>
      </c>
    </row>
    <row r="14" spans="1:30">
      <c r="A14" s="23" t="s">
        <v>69</v>
      </c>
      <c r="C14">
        <v>1.17E-2</v>
      </c>
      <c r="D14">
        <f>((M14-C14)/10)+C14</f>
        <v>1.166E-2</v>
      </c>
      <c r="E14">
        <f>((M14-D14)/9)+D14</f>
        <v>1.162E-2</v>
      </c>
      <c r="F14">
        <f>((M14-E14)/8)+E14</f>
        <v>1.158E-2</v>
      </c>
      <c r="G14">
        <f>((M14-F14)/7)+F14</f>
        <v>1.154E-2</v>
      </c>
      <c r="H14">
        <f>((M14-G14)/6)+G14</f>
        <v>1.15E-2</v>
      </c>
      <c r="I14">
        <f>((M14-H14)/5)+H14</f>
        <v>1.146E-2</v>
      </c>
      <c r="J14">
        <f>((M14-I14)/4)+I14</f>
        <v>1.142E-2</v>
      </c>
      <c r="K14">
        <f>((M14-J14)/3)+J14</f>
        <v>1.1379999999999999E-2</v>
      </c>
      <c r="L14">
        <f>((M14-K14)/2)+K14</f>
        <v>1.1339999999999999E-2</v>
      </c>
      <c r="M14">
        <v>1.1299999999999999E-2</v>
      </c>
      <c r="N14">
        <f>((W14-M14)/10)+M14</f>
        <v>1.1299999999999999E-2</v>
      </c>
      <c r="O14">
        <f>((W14-N14)/9)+N14</f>
        <v>1.1299999999999999E-2</v>
      </c>
      <c r="P14">
        <f>((W14-O14)/8)+O14</f>
        <v>1.1299999999999999E-2</v>
      </c>
      <c r="Q14">
        <f>((W14-P14)/7)+P14</f>
        <v>1.1299999999999999E-2</v>
      </c>
      <c r="R14">
        <f>((W14-Q14)/6)+Q14</f>
        <v>1.1299999999999999E-2</v>
      </c>
      <c r="S14">
        <f>((W14-R14)/5)+R14</f>
        <v>1.1299999999999999E-2</v>
      </c>
      <c r="T14">
        <f>((W14-S14)/4)+S14</f>
        <v>1.1299999999999999E-2</v>
      </c>
      <c r="U14">
        <f>((W14-T14)/3)+T14</f>
        <v>1.1299999999999999E-2</v>
      </c>
      <c r="V14">
        <f>((W14-U14)/2)+U14</f>
        <v>1.1299999999999999E-2</v>
      </c>
      <c r="W14">
        <v>1.1299999999999999E-2</v>
      </c>
      <c r="X14">
        <v>1.1299999999999999E-2</v>
      </c>
      <c r="Y14">
        <v>1.1299999999999999E-2</v>
      </c>
      <c r="Z14">
        <v>1.1299999999999999E-2</v>
      </c>
      <c r="AA14">
        <v>1.1299999999999999E-2</v>
      </c>
      <c r="AB14">
        <v>1.1299999999999999E-2</v>
      </c>
      <c r="AC14">
        <v>1.1299999999999999E-2</v>
      </c>
    </row>
    <row r="15" spans="1:30">
      <c r="A15" s="84" t="s">
        <v>116</v>
      </c>
      <c r="D15" s="35">
        <f>'Price Assumptions'!$B$11</f>
        <v>290000</v>
      </c>
      <c r="E15" s="35">
        <f>'Price Assumptions'!$B$11</f>
        <v>290000</v>
      </c>
      <c r="F15" s="35">
        <f>'Price Assumptions'!$B$11</f>
        <v>290000</v>
      </c>
      <c r="G15" s="35">
        <f>'Price Assumptions'!$B$11</f>
        <v>290000</v>
      </c>
      <c r="H15" s="35">
        <f>'Price Assumptions'!$B$11</f>
        <v>290000</v>
      </c>
      <c r="I15" s="35">
        <f>'Price Assumptions'!$B$11</f>
        <v>290000</v>
      </c>
      <c r="J15" s="35">
        <f>'Price Assumptions'!$B$11</f>
        <v>290000</v>
      </c>
      <c r="K15" s="35">
        <f>'Price Assumptions'!$B$11</f>
        <v>290000</v>
      </c>
      <c r="L15" s="35">
        <f>'Price Assumptions'!$B$11</f>
        <v>290000</v>
      </c>
      <c r="M15" s="35">
        <f>'Price Assumptions'!$B$11</f>
        <v>290000</v>
      </c>
      <c r="N15" s="35">
        <f>'Price Assumptions'!$B$11</f>
        <v>290000</v>
      </c>
      <c r="O15" s="35">
        <f>'Price Assumptions'!$B$11</f>
        <v>290000</v>
      </c>
      <c r="P15" s="35">
        <f>'Price Assumptions'!$B$11</f>
        <v>290000</v>
      </c>
      <c r="Q15" s="35">
        <f>'Price Assumptions'!$B$11</f>
        <v>290000</v>
      </c>
      <c r="R15" s="35">
        <f>'Price Assumptions'!$B$11</f>
        <v>290000</v>
      </c>
      <c r="S15" s="35">
        <f>'Price Assumptions'!$B$11</f>
        <v>290000</v>
      </c>
      <c r="T15" s="35">
        <f>'Price Assumptions'!$B$11</f>
        <v>290000</v>
      </c>
      <c r="U15" s="35">
        <f>'Price Assumptions'!$B$11</f>
        <v>290000</v>
      </c>
      <c r="V15" s="35">
        <f>'Price Assumptions'!$B$11</f>
        <v>290000</v>
      </c>
      <c r="W15" s="35">
        <f>'Price Assumptions'!$B$11</f>
        <v>290000</v>
      </c>
      <c r="X15" s="35">
        <f>'Price Assumptions'!$B$11</f>
        <v>290000</v>
      </c>
      <c r="Y15" s="35">
        <f>'Price Assumptions'!$B$11</f>
        <v>290000</v>
      </c>
      <c r="Z15" s="35">
        <f>'Price Assumptions'!$B$11</f>
        <v>290000</v>
      </c>
      <c r="AA15" s="35">
        <f>'Price Assumptions'!$B$11</f>
        <v>290000</v>
      </c>
      <c r="AB15" s="35">
        <f>'Price Assumptions'!$B$11</f>
        <v>290000</v>
      </c>
      <c r="AC15" s="35">
        <f>'Price Assumptions'!$B$11</f>
        <v>290000</v>
      </c>
    </row>
    <row r="17" spans="1:33">
      <c r="A17" s="23" t="s">
        <v>70</v>
      </c>
    </row>
    <row r="18" spans="1:33">
      <c r="A18" t="s">
        <v>63</v>
      </c>
      <c r="C18">
        <v>0.61319999999999997</v>
      </c>
      <c r="D18">
        <f>((M18-C18)/10)+C18</f>
        <v>0.57692999999999994</v>
      </c>
      <c r="E18">
        <f>((M18-D18)/9)+D18</f>
        <v>0.54065999999999992</v>
      </c>
      <c r="F18">
        <f>((M18-E18)/8)+E18</f>
        <v>0.50438999999999989</v>
      </c>
      <c r="G18">
        <f>((M18-F18)/7)+F18</f>
        <v>0.46811999999999993</v>
      </c>
      <c r="H18">
        <f>((M18-G18)/6)+G18</f>
        <v>0.43184999999999996</v>
      </c>
      <c r="I18">
        <f>((M18-H18)/5)+H18</f>
        <v>0.39557999999999999</v>
      </c>
      <c r="J18">
        <f>((M18-I18)/4)+I18</f>
        <v>0.35931000000000002</v>
      </c>
      <c r="K18">
        <f>((M18-J18)/3)+J18</f>
        <v>0.32303999999999999</v>
      </c>
      <c r="L18">
        <f>((M18-K18)/2)+K18</f>
        <v>0.28676999999999997</v>
      </c>
      <c r="M18">
        <v>0.2505</v>
      </c>
      <c r="N18">
        <f>((W18-M18)/10)+M18</f>
        <v>0.24349000000000001</v>
      </c>
      <c r="O18">
        <f>((W18-N18)/9)+N18</f>
        <v>0.23648000000000002</v>
      </c>
      <c r="P18">
        <f>((W18-O18)/8)+O18</f>
        <v>0.22947000000000001</v>
      </c>
      <c r="Q18">
        <f>((W18-P18)/7)+P18</f>
        <v>0.22246000000000002</v>
      </c>
      <c r="R18">
        <f>((W18-Q18)/6)+Q18</f>
        <v>0.21545000000000003</v>
      </c>
      <c r="S18">
        <f>((W18-R18)/5)+R18</f>
        <v>0.20844000000000001</v>
      </c>
      <c r="T18">
        <f>((W18-S18)/4)+S18</f>
        <v>0.20143</v>
      </c>
      <c r="U18">
        <f>((W18-T18)/3)+T18</f>
        <v>0.19442000000000001</v>
      </c>
      <c r="V18">
        <f>((W18-U18)/2)+U18</f>
        <v>0.18741000000000002</v>
      </c>
      <c r="W18">
        <v>0.1804</v>
      </c>
      <c r="X18">
        <f t="shared" ref="X18" si="10">((Y18-W18)/2)+W18</f>
        <v>0.1804</v>
      </c>
      <c r="Y18">
        <v>0.1804</v>
      </c>
      <c r="Z18">
        <f t="shared" ref="Z18" si="11">((AA18-Y18)/2)+Y18</f>
        <v>0.1804</v>
      </c>
      <c r="AA18">
        <v>0.1804</v>
      </c>
      <c r="AB18">
        <v>0.1804</v>
      </c>
      <c r="AC18">
        <v>0.1804</v>
      </c>
    </row>
    <row r="19" spans="1:33">
      <c r="A19" t="s">
        <v>71</v>
      </c>
      <c r="C19">
        <v>0.38250000000000001</v>
      </c>
      <c r="D19">
        <f>((M19-C19)/10)+C19</f>
        <v>0.35982000000000003</v>
      </c>
      <c r="E19">
        <f>((M19-D19)/9)+D19</f>
        <v>0.33714000000000005</v>
      </c>
      <c r="F19">
        <f>((M19-E19)/8)+E19</f>
        <v>0.31446000000000007</v>
      </c>
      <c r="G19">
        <f>((M19-F19)/7)+F19</f>
        <v>0.29178000000000004</v>
      </c>
      <c r="H19">
        <f>((M19-G19)/6)+G19</f>
        <v>0.26910000000000001</v>
      </c>
      <c r="I19">
        <f>((M19-H19)/5)+H19</f>
        <v>0.24642</v>
      </c>
      <c r="J19">
        <f>((M19-I19)/4)+I19</f>
        <v>0.22373999999999999</v>
      </c>
      <c r="K19">
        <f>((M19-J19)/3)+J19</f>
        <v>0.20105999999999999</v>
      </c>
      <c r="L19">
        <f>((M19-K19)/2)+K19</f>
        <v>0.17837999999999998</v>
      </c>
      <c r="M19">
        <v>0.15570000000000001</v>
      </c>
      <c r="N19">
        <f>((W19-M19)/10)+M19</f>
        <v>0.15316000000000002</v>
      </c>
      <c r="O19">
        <f>((W19-N19)/9)+N19</f>
        <v>0.15062</v>
      </c>
      <c r="P19">
        <f>((W19-O19)/8)+O19</f>
        <v>0.14807999999999999</v>
      </c>
      <c r="Q19">
        <f>((W19-P19)/7)+P19</f>
        <v>0.14554</v>
      </c>
      <c r="R19">
        <f>((W19-Q19)/6)+Q19</f>
        <v>0.14300000000000002</v>
      </c>
      <c r="S19">
        <f>((W19-R19)/5)+R19</f>
        <v>0.14046</v>
      </c>
      <c r="T19">
        <f>((W19-S19)/4)+S19</f>
        <v>0.13791999999999999</v>
      </c>
      <c r="U19">
        <f>((W19-T19)/3)+T19</f>
        <v>0.13538</v>
      </c>
      <c r="V19">
        <f>((W19-U19)/2)+U19</f>
        <v>0.13284000000000001</v>
      </c>
      <c r="W19">
        <v>0.1303</v>
      </c>
      <c r="X19">
        <f t="shared" ref="X19" si="12">((Y19-W19)/2)+W19</f>
        <v>0.1303</v>
      </c>
      <c r="Y19">
        <v>0.1303</v>
      </c>
      <c r="Z19">
        <f t="shared" ref="Z19" si="13">((AA19-Y19)/2)+Y19</f>
        <v>0.1303</v>
      </c>
      <c r="AA19">
        <v>0.1303</v>
      </c>
      <c r="AB19">
        <v>0.1303</v>
      </c>
      <c r="AC19">
        <v>0.1303</v>
      </c>
    </row>
    <row r="21" spans="1:33" ht="14.25">
      <c r="A21" s="23" t="s">
        <v>73</v>
      </c>
      <c r="C21" s="124">
        <v>461.69728614536024</v>
      </c>
      <c r="D21">
        <f>((M21-C21)/10)+C21</f>
        <v>451.40548938056838</v>
      </c>
      <c r="E21">
        <f>((M21-D21)/9)+D21</f>
        <v>441.11369261577653</v>
      </c>
      <c r="F21">
        <f>((M21-E21)/8)+E21</f>
        <v>430.82189585098467</v>
      </c>
      <c r="G21">
        <f>((M21-F21)/7)+F21</f>
        <v>420.53009908619282</v>
      </c>
      <c r="H21">
        <f>((M21-G21)/6)+G21</f>
        <v>410.23830232140097</v>
      </c>
      <c r="I21">
        <f>((M21-H21)/5)+H21</f>
        <v>399.94650555660911</v>
      </c>
      <c r="J21">
        <f>((M21-I21)/4)+I21</f>
        <v>389.65470879181726</v>
      </c>
      <c r="K21">
        <f>((M21-J21)/3)+J21</f>
        <v>379.3629120270254</v>
      </c>
      <c r="L21">
        <f>((M21-K21)/2)+K21</f>
        <v>369.07111526223355</v>
      </c>
      <c r="M21" s="124">
        <v>358.77931849744169</v>
      </c>
      <c r="N21">
        <f>((W21-M21)/10)+M21</f>
        <v>354.20538664769754</v>
      </c>
      <c r="O21">
        <f>((W21-N21)/9)+N21</f>
        <v>349.63145479795338</v>
      </c>
      <c r="P21">
        <f>((W21-O21)/8)+O21</f>
        <v>345.05752294820923</v>
      </c>
      <c r="Q21">
        <f>((W21-P21)/7)+P21</f>
        <v>340.48359109846507</v>
      </c>
      <c r="R21">
        <f>((W21-Q21)/6)+Q21</f>
        <v>335.90965924872091</v>
      </c>
      <c r="S21">
        <f>((W21-R21)/5)+R21</f>
        <v>331.33572739897676</v>
      </c>
      <c r="T21">
        <f>((W21-S21)/4)+S21</f>
        <v>326.7617955492326</v>
      </c>
      <c r="U21">
        <f>((W21-T21)/3)+T21</f>
        <v>322.18786369948839</v>
      </c>
      <c r="V21">
        <f>((W21-U21)/2)+U21</f>
        <v>317.61393184974418</v>
      </c>
      <c r="W21">
        <v>313.04000000000002</v>
      </c>
      <c r="X21">
        <f t="shared" ref="X21" si="14">((Y21-W21)/2)+W21</f>
        <v>313.04000000000002</v>
      </c>
      <c r="Y21">
        <v>313.04000000000002</v>
      </c>
      <c r="Z21">
        <f t="shared" ref="Z21" si="15">((AA21-Y21)/2)+Y21</f>
        <v>313.04000000000002</v>
      </c>
      <c r="AA21">
        <v>313.04000000000002</v>
      </c>
      <c r="AB21">
        <v>313.04000000000002</v>
      </c>
      <c r="AC21">
        <v>313.04000000000002</v>
      </c>
    </row>
    <row r="22" spans="1:33">
      <c r="A22" s="26" t="s">
        <v>116</v>
      </c>
      <c r="C22" s="531">
        <v>21.4</v>
      </c>
      <c r="D22" s="531">
        <v>21.9</v>
      </c>
      <c r="E22" s="531">
        <v>22.4</v>
      </c>
      <c r="F22" s="531">
        <v>22.8</v>
      </c>
      <c r="G22" s="531">
        <v>23.3</v>
      </c>
      <c r="H22" s="531">
        <v>23.8</v>
      </c>
      <c r="I22" s="531">
        <v>24.3</v>
      </c>
      <c r="J22" s="531">
        <v>24.8</v>
      </c>
      <c r="K22" s="531">
        <v>25.3</v>
      </c>
      <c r="L22" s="531">
        <v>25.8</v>
      </c>
      <c r="M22" s="531">
        <v>26.3</v>
      </c>
      <c r="N22" s="531">
        <v>27</v>
      </c>
      <c r="O22" s="531">
        <v>27.6</v>
      </c>
      <c r="P22" s="531">
        <v>28.3</v>
      </c>
      <c r="Q22" s="531">
        <v>28.9</v>
      </c>
      <c r="R22" s="531">
        <v>29.6</v>
      </c>
      <c r="S22" s="531">
        <v>30.2</v>
      </c>
      <c r="T22" s="531">
        <v>30.9</v>
      </c>
      <c r="U22" s="531">
        <v>31.5</v>
      </c>
      <c r="V22" s="531">
        <v>32.1</v>
      </c>
      <c r="W22" s="531">
        <v>32.799999999999997</v>
      </c>
      <c r="X22" s="531">
        <v>33.4</v>
      </c>
      <c r="Y22" s="531">
        <v>34.1</v>
      </c>
      <c r="Z22" s="531">
        <v>34.700000000000003</v>
      </c>
      <c r="AA22" s="531">
        <v>35.4</v>
      </c>
      <c r="AB22" s="531">
        <v>36</v>
      </c>
      <c r="AC22" s="531">
        <v>36.700000000000003</v>
      </c>
    </row>
    <row r="23" spans="1:33">
      <c r="A23" s="26"/>
      <c r="C23" s="531"/>
      <c r="D23" s="531"/>
      <c r="E23" s="531"/>
      <c r="F23" s="531"/>
      <c r="G23" s="531"/>
      <c r="H23" s="531"/>
      <c r="I23" s="531"/>
      <c r="J23" s="531"/>
      <c r="K23" s="531"/>
      <c r="L23" s="531"/>
      <c r="M23" s="531"/>
      <c r="N23" s="531"/>
      <c r="O23" s="531"/>
      <c r="P23" s="531"/>
      <c r="Q23" s="531"/>
      <c r="R23" s="531"/>
      <c r="S23" s="531"/>
      <c r="T23" s="531"/>
      <c r="U23" s="531"/>
      <c r="V23" s="531"/>
      <c r="W23" s="531"/>
      <c r="X23" s="531"/>
      <c r="Y23" s="531"/>
      <c r="Z23" s="531"/>
      <c r="AA23" s="531"/>
      <c r="AB23" s="531"/>
      <c r="AC23" s="531"/>
    </row>
    <row r="24" spans="1:33">
      <c r="A24" s="23" t="s">
        <v>645</v>
      </c>
      <c r="C24" s="531"/>
      <c r="D24" s="531"/>
      <c r="E24" s="531"/>
      <c r="F24" s="531"/>
      <c r="G24" s="531"/>
      <c r="H24" s="531"/>
      <c r="I24" s="531"/>
      <c r="J24" s="531"/>
      <c r="K24" s="531"/>
      <c r="L24" s="531"/>
      <c r="M24" s="531"/>
      <c r="N24" s="531"/>
      <c r="O24" s="531"/>
      <c r="P24" s="531"/>
      <c r="Q24" s="531"/>
      <c r="R24" s="531"/>
      <c r="S24" s="531"/>
      <c r="T24" s="531"/>
      <c r="U24" s="531"/>
      <c r="V24" s="531"/>
      <c r="W24" s="531"/>
      <c r="X24" s="531"/>
      <c r="Y24" s="531"/>
      <c r="Z24" s="531"/>
      <c r="AA24" s="531"/>
      <c r="AB24" s="531"/>
      <c r="AC24" s="531"/>
    </row>
    <row r="25" spans="1:33">
      <c r="A25" t="s">
        <v>66</v>
      </c>
      <c r="C25" s="531"/>
      <c r="D25">
        <v>8.6E-3</v>
      </c>
      <c r="E25">
        <v>8.6E-3</v>
      </c>
      <c r="F25">
        <v>8.6E-3</v>
      </c>
      <c r="G25">
        <v>8.6E-3</v>
      </c>
      <c r="H25">
        <v>8.6E-3</v>
      </c>
      <c r="I25">
        <v>8.6999999999999994E-3</v>
      </c>
      <c r="J25">
        <v>8.6999999999999994E-3</v>
      </c>
      <c r="K25">
        <v>8.6999999999999994E-3</v>
      </c>
      <c r="L25">
        <v>8.6999999999999994E-3</v>
      </c>
      <c r="M25">
        <v>8.6999999999999994E-3</v>
      </c>
      <c r="N25">
        <v>8.6999999999999994E-3</v>
      </c>
      <c r="O25">
        <v>8.6999999999999994E-3</v>
      </c>
      <c r="P25">
        <v>8.6999999999999994E-3</v>
      </c>
      <c r="Q25">
        <v>8.6999999999999994E-3</v>
      </c>
      <c r="R25">
        <v>8.6999999999999994E-3</v>
      </c>
      <c r="S25">
        <v>8.6999999999999994E-3</v>
      </c>
      <c r="T25">
        <v>8.6999999999999994E-3</v>
      </c>
      <c r="U25">
        <v>8.6999999999999994E-3</v>
      </c>
      <c r="V25">
        <v>8.6999999999999994E-3</v>
      </c>
      <c r="W25">
        <v>8.8000000000000005E-3</v>
      </c>
      <c r="X25">
        <v>8.8000000000000005E-3</v>
      </c>
      <c r="Y25">
        <v>8.8000000000000005E-3</v>
      </c>
      <c r="Z25">
        <v>8.8000000000000005E-3</v>
      </c>
      <c r="AA25">
        <v>8.8000000000000005E-3</v>
      </c>
      <c r="AB25">
        <v>8.8000000000000005E-3</v>
      </c>
      <c r="AC25">
        <v>8.8000000000000005E-3</v>
      </c>
      <c r="AG25" s="537"/>
    </row>
    <row r="26" spans="1:33">
      <c r="A26" t="s">
        <v>116</v>
      </c>
      <c r="C26" s="531"/>
      <c r="D26" s="227">
        <v>31000</v>
      </c>
      <c r="E26" s="227">
        <v>31000</v>
      </c>
      <c r="F26" s="227">
        <v>31000</v>
      </c>
      <c r="G26" s="227">
        <v>31000</v>
      </c>
      <c r="H26" s="227">
        <v>31000</v>
      </c>
      <c r="I26" s="227">
        <v>31000</v>
      </c>
      <c r="J26" s="227">
        <v>31000</v>
      </c>
      <c r="K26" s="227">
        <v>31000</v>
      </c>
      <c r="L26" s="227">
        <v>31000</v>
      </c>
      <c r="M26" s="227">
        <v>31000</v>
      </c>
      <c r="N26" s="227">
        <v>31000</v>
      </c>
      <c r="O26" s="227">
        <v>31000</v>
      </c>
      <c r="P26" s="227">
        <v>31000</v>
      </c>
      <c r="Q26" s="227">
        <v>31000</v>
      </c>
      <c r="R26" s="227">
        <v>31000</v>
      </c>
      <c r="S26" s="227">
        <v>31000</v>
      </c>
      <c r="T26" s="227">
        <v>31000</v>
      </c>
      <c r="U26" s="227">
        <v>31000</v>
      </c>
      <c r="V26" s="227">
        <v>31000</v>
      </c>
      <c r="W26" s="227">
        <v>31000</v>
      </c>
      <c r="X26" s="227">
        <v>31000</v>
      </c>
      <c r="Y26" s="227">
        <v>31000</v>
      </c>
      <c r="Z26" s="227">
        <v>31000</v>
      </c>
      <c r="AA26" s="227">
        <v>31000</v>
      </c>
      <c r="AB26" s="227">
        <v>31000</v>
      </c>
      <c r="AC26" s="227">
        <v>31000</v>
      </c>
    </row>
    <row r="28" spans="1:33">
      <c r="A28" t="s">
        <v>72</v>
      </c>
    </row>
    <row r="29" spans="1:33">
      <c r="A29" t="s">
        <v>60</v>
      </c>
      <c r="B29" t="s">
        <v>61</v>
      </c>
    </row>
    <row r="30" spans="1:33">
      <c r="G30" s="22"/>
    </row>
    <row r="31" spans="1:33">
      <c r="A31" s="26" t="s">
        <v>646</v>
      </c>
    </row>
  </sheetData>
  <phoneticPr fontId="3" type="noConversion"/>
  <pageMargins left="0.35" right="0.28999999999999998" top="1" bottom="1" header="0.5" footer="0.5"/>
  <pageSetup scale="8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Summary Table</vt:lpstr>
      <vt:lpstr>FT</vt:lpstr>
      <vt:lpstr>FT Users</vt:lpstr>
      <vt:lpstr>Forest Glen</vt:lpstr>
      <vt:lpstr>FG Users</vt:lpstr>
      <vt:lpstr>NC</vt:lpstr>
      <vt:lpstr>NC Users</vt:lpstr>
      <vt:lpstr>Rosslyn</vt:lpstr>
      <vt:lpstr>Ro Users</vt:lpstr>
      <vt:lpstr>WH</vt:lpstr>
      <vt:lpstr>WH Users</vt:lpstr>
      <vt:lpstr>A-N Drive</vt:lpstr>
      <vt:lpstr>A-N Users</vt:lpstr>
      <vt:lpstr>VRE</vt:lpstr>
      <vt:lpstr>VRE Users</vt:lpstr>
      <vt:lpstr>Assumptions</vt:lpstr>
      <vt:lpstr>Mode Operating Assumptions</vt:lpstr>
      <vt:lpstr>Price Assumptions</vt:lpstr>
      <vt:lpstr>Emissions Assumptions</vt:lpstr>
    </vt:vector>
  </TitlesOfParts>
  <Company>MWCOG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mbansal</dc:creator>
  <cp:lastModifiedBy>Eric Ross Randall</cp:lastModifiedBy>
  <cp:lastPrinted>2012-03-09T18:51:02Z</cp:lastPrinted>
  <dcterms:created xsi:type="dcterms:W3CDTF">2009-08-12T14:10:49Z</dcterms:created>
  <dcterms:modified xsi:type="dcterms:W3CDTF">2012-03-13T19:00:51Z</dcterms:modified>
</cp:coreProperties>
</file>