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5480" windowHeight="11070"/>
  </bookViews>
  <sheets>
    <sheet name="Summary" sheetId="1" r:id="rId1"/>
    <sheet name="DC Ftotten" sheetId="8" r:id="rId2"/>
    <sheet name="MC F Glen" sheetId="5" r:id="rId3"/>
    <sheet name="PG NewC" sheetId="4" r:id="rId4"/>
    <sheet name="Arl RCC" sheetId="6" r:id="rId5"/>
    <sheet name="PG WH" sheetId="2" r:id="rId6"/>
    <sheet name="Arl A-N" sheetId="3" r:id="rId7"/>
    <sheet name="VRE" sheetId="7" r:id="rId8"/>
  </sheets>
  <definedNames>
    <definedName name="_xlnm.Print_Area" localSheetId="2">'MC F Glen'!$A$1:$AA$40</definedName>
    <definedName name="_xlnm.Print_Area" localSheetId="5">'PG WH'!$A$1:$N$32</definedName>
    <definedName name="_xlnm.Print_Area" localSheetId="0">Summary!$A$1:$X$30</definedName>
  </definedNames>
  <calcPr calcId="125725"/>
</workbook>
</file>

<file path=xl/calcChain.xml><?xml version="1.0" encoding="utf-8"?>
<calcChain xmlns="http://schemas.openxmlformats.org/spreadsheetml/2006/main">
  <c r="X36" i="5"/>
  <c r="T36"/>
  <c r="P36"/>
  <c r="L36"/>
  <c r="L33" i="4"/>
  <c r="X10" i="1"/>
  <c r="W10"/>
  <c r="V10"/>
  <c r="U10"/>
  <c r="T10"/>
  <c r="S10"/>
  <c r="R10"/>
  <c r="Q10"/>
  <c r="P10"/>
  <c r="O10"/>
  <c r="N10"/>
  <c r="M10"/>
  <c r="L10"/>
  <c r="K10"/>
  <c r="J10"/>
  <c r="I10"/>
  <c r="H10"/>
  <c r="D10"/>
  <c r="E37" i="5"/>
  <c r="C10" i="1"/>
  <c r="B10"/>
  <c r="H35" i="5"/>
  <c r="G35"/>
  <c r="Y32"/>
  <c r="X32"/>
  <c r="AA32" s="1"/>
  <c r="E31"/>
  <c r="Y29"/>
  <c r="X29"/>
  <c r="AA29" s="1"/>
  <c r="W29"/>
  <c r="Y28"/>
  <c r="X28"/>
  <c r="W28"/>
  <c r="V28"/>
  <c r="U28"/>
  <c r="T28"/>
  <c r="S28"/>
  <c r="R28"/>
  <c r="Q28"/>
  <c r="P28"/>
  <c r="AA28" s="1"/>
  <c r="O28"/>
  <c r="Y27"/>
  <c r="X27"/>
  <c r="W27"/>
  <c r="V27"/>
  <c r="AA27" s="1"/>
  <c r="U27"/>
  <c r="V26"/>
  <c r="U26"/>
  <c r="T26"/>
  <c r="S26"/>
  <c r="AA26" s="1"/>
  <c r="R26"/>
  <c r="T25"/>
  <c r="S25"/>
  <c r="R25"/>
  <c r="Q25"/>
  <c r="AA25" s="1"/>
  <c r="P24"/>
  <c r="AA24" s="1"/>
  <c r="O24"/>
  <c r="E23"/>
  <c r="AA21"/>
  <c r="E20"/>
  <c r="Y18"/>
  <c r="X18"/>
  <c r="W18"/>
  <c r="V18"/>
  <c r="U18"/>
  <c r="T18"/>
  <c r="S18"/>
  <c r="R18"/>
  <c r="Q18"/>
  <c r="P18"/>
  <c r="O18"/>
  <c r="AA18" s="1"/>
  <c r="N17"/>
  <c r="M17"/>
  <c r="L17"/>
  <c r="K17"/>
  <c r="AA17" s="1"/>
  <c r="N16"/>
  <c r="M16"/>
  <c r="L16"/>
  <c r="K16"/>
  <c r="AA16" s="1"/>
  <c r="N14"/>
  <c r="M14"/>
  <c r="L14"/>
  <c r="K14"/>
  <c r="J11"/>
  <c r="I11"/>
  <c r="AA11" s="1"/>
  <c r="J10"/>
  <c r="I10"/>
  <c r="AA10" s="1"/>
  <c r="AA9"/>
  <c r="J9"/>
  <c r="J35" s="1"/>
  <c r="I9"/>
  <c r="I35" s="1"/>
  <c r="E8"/>
  <c r="E15" s="1"/>
  <c r="V15" l="1"/>
  <c r="V35" s="1"/>
  <c r="R15"/>
  <c r="R35" s="1"/>
  <c r="N15"/>
  <c r="W15"/>
  <c r="W35" s="1"/>
  <c r="S15"/>
  <c r="S35" s="1"/>
  <c r="O15"/>
  <c r="O35" s="1"/>
  <c r="K15"/>
  <c r="X15"/>
  <c r="X35" s="1"/>
  <c r="T15"/>
  <c r="T35" s="1"/>
  <c r="P15"/>
  <c r="P35" s="1"/>
  <c r="L15"/>
  <c r="E13"/>
  <c r="E35" s="1"/>
  <c r="Y15"/>
  <c r="Y35" s="1"/>
  <c r="U15"/>
  <c r="U35" s="1"/>
  <c r="Q15"/>
  <c r="Q35" s="1"/>
  <c r="M15"/>
  <c r="M35" s="1"/>
  <c r="L35"/>
  <c r="K35"/>
  <c r="AA35" s="1"/>
  <c r="N35"/>
  <c r="AA14"/>
  <c r="F37" l="1"/>
  <c r="AA15"/>
  <c r="F39" l="1"/>
  <c r="L14" i="1" l="1"/>
  <c r="K14"/>
  <c r="J14"/>
  <c r="H14"/>
  <c r="D14"/>
  <c r="C14"/>
  <c r="B14"/>
  <c r="E35" i="6"/>
  <c r="J35"/>
  <c r="J18"/>
  <c r="J19"/>
  <c r="E39"/>
  <c r="N35"/>
  <c r="K35"/>
  <c r="I35"/>
  <c r="H35"/>
  <c r="E33"/>
  <c r="O33" s="1"/>
  <c r="O35" s="1"/>
  <c r="M14" i="1" s="1"/>
  <c r="M31" i="6"/>
  <c r="M35" s="1"/>
  <c r="L27"/>
  <c r="L35" s="1"/>
  <c r="E26"/>
  <c r="O24"/>
  <c r="K21"/>
  <c r="J17"/>
  <c r="E9"/>
  <c r="K19" i="1"/>
  <c r="J19"/>
  <c r="I19"/>
  <c r="H19"/>
  <c r="G19"/>
  <c r="G23" s="1"/>
  <c r="G26" s="1"/>
  <c r="F19"/>
  <c r="F23" s="1"/>
  <c r="H37" i="3"/>
  <c r="G37"/>
  <c r="E24"/>
  <c r="F34" s="1"/>
  <c r="L23"/>
  <c r="K23"/>
  <c r="J23"/>
  <c r="I23"/>
  <c r="E32" i="8"/>
  <c r="I31" i="4"/>
  <c r="J12" i="1" s="1"/>
  <c r="M29" i="4"/>
  <c r="M31" s="1"/>
  <c r="N12" i="1" s="1"/>
  <c r="J29" i="4"/>
  <c r="J31" s="1"/>
  <c r="K12" i="1" s="1"/>
  <c r="I29" i="4"/>
  <c r="F24"/>
  <c r="F22"/>
  <c r="F20"/>
  <c r="F18"/>
  <c r="F16"/>
  <c r="F14"/>
  <c r="F12"/>
  <c r="F9"/>
  <c r="K9"/>
  <c r="L9" s="1"/>
  <c r="L29" s="1"/>
  <c r="O14"/>
  <c r="P21" i="1"/>
  <c r="O21"/>
  <c r="N21"/>
  <c r="M21"/>
  <c r="L21"/>
  <c r="B21"/>
  <c r="I60" i="7"/>
  <c r="J60"/>
  <c r="K60"/>
  <c r="L60"/>
  <c r="M60"/>
  <c r="K16" i="1"/>
  <c r="K21" i="2"/>
  <c r="J21"/>
  <c r="I21"/>
  <c r="E23"/>
  <c r="O24" i="4"/>
  <c r="O22"/>
  <c r="O20"/>
  <c r="O18"/>
  <c r="O16"/>
  <c r="O12"/>
  <c r="E14" i="1" l="1"/>
  <c r="F26"/>
  <c r="F28" s="1"/>
  <c r="E29" i="6"/>
  <c r="P35"/>
  <c r="Z19" i="1"/>
  <c r="G29"/>
  <c r="G28"/>
  <c r="J24" i="3"/>
  <c r="J33" s="1"/>
  <c r="I24"/>
  <c r="L24"/>
  <c r="K24"/>
  <c r="L31" i="4"/>
  <c r="M12" i="1" s="1"/>
  <c r="K29" i="4"/>
  <c r="K31" s="1"/>
  <c r="O9"/>
  <c r="N22" i="8"/>
  <c r="M22"/>
  <c r="L22"/>
  <c r="N19"/>
  <c r="M19"/>
  <c r="L19"/>
  <c r="N16"/>
  <c r="M16"/>
  <c r="L16"/>
  <c r="N13"/>
  <c r="M13"/>
  <c r="L13"/>
  <c r="K27"/>
  <c r="J27"/>
  <c r="I27"/>
  <c r="E32" i="3"/>
  <c r="F32" s="1"/>
  <c r="H33"/>
  <c r="G33"/>
  <c r="F29" i="1" l="1"/>
  <c r="I33" i="3"/>
  <c r="I37"/>
  <c r="L33"/>
  <c r="K33"/>
  <c r="K37" s="1"/>
  <c r="J37"/>
  <c r="O31" i="4"/>
  <c r="L12" i="1"/>
  <c r="J28" i="8"/>
  <c r="J30" s="1"/>
  <c r="I7" i="1" s="1"/>
  <c r="I28" i="8"/>
  <c r="I30" s="1"/>
  <c r="L27"/>
  <c r="K28"/>
  <c r="K30" s="1"/>
  <c r="J7" i="1" s="1"/>
  <c r="M27" i="8"/>
  <c r="M28" s="1"/>
  <c r="L37" i="3" l="1"/>
  <c r="N33"/>
  <c r="Z12" i="1"/>
  <c r="H7"/>
  <c r="L28" i="8"/>
  <c r="L30" s="1"/>
  <c r="K7" i="1" s="1"/>
  <c r="M30" i="8"/>
  <c r="L7" i="1" s="1"/>
  <c r="E24" i="8"/>
  <c r="N24" s="1"/>
  <c r="N27" s="1"/>
  <c r="N37" i="3" l="1"/>
  <c r="N28" i="8"/>
  <c r="N30" s="1"/>
  <c r="E27"/>
  <c r="E28" s="1"/>
  <c r="M7" i="1" l="1"/>
  <c r="P30" i="8"/>
  <c r="E30"/>
  <c r="E34" i="3"/>
  <c r="F19" i="2"/>
  <c r="F18"/>
  <c r="AC37" i="8"/>
  <c r="AC36"/>
  <c r="E8" i="7"/>
  <c r="E60" s="1"/>
  <c r="E37" i="3" l="1"/>
  <c r="E39"/>
  <c r="Z7" i="1"/>
  <c r="E62" i="7"/>
  <c r="E64"/>
  <c r="D21" i="1" s="1"/>
  <c r="C21"/>
  <c r="E34" i="8"/>
  <c r="B7" i="1"/>
  <c r="E41" i="3" l="1"/>
  <c r="E21" i="1"/>
  <c r="F41" i="3"/>
  <c r="D7" i="1"/>
  <c r="F34" i="8"/>
  <c r="C7" i="1"/>
  <c r="F32" i="8"/>
  <c r="F39" i="3"/>
  <c r="B19" i="1"/>
  <c r="D19"/>
  <c r="C19"/>
  <c r="AC39" i="4"/>
  <c r="S39"/>
  <c r="AC38"/>
  <c r="X38"/>
  <c r="S38"/>
  <c r="E7"/>
  <c r="E27" s="1"/>
  <c r="F27" l="1"/>
  <c r="F31" s="1"/>
  <c r="E29"/>
  <c r="F29" s="1"/>
  <c r="E31"/>
  <c r="E7" i="1"/>
  <c r="I23"/>
  <c r="I26" s="1"/>
  <c r="Z14"/>
  <c r="Z21"/>
  <c r="H23"/>
  <c r="H26" s="1"/>
  <c r="E19"/>
  <c r="E21" i="2"/>
  <c r="E33" i="4" l="1"/>
  <c r="B12" i="1"/>
  <c r="I28"/>
  <c r="I29"/>
  <c r="F23" i="2"/>
  <c r="E35" i="4" l="1"/>
  <c r="F35" s="1"/>
  <c r="F33"/>
  <c r="H28" i="1"/>
  <c r="H29"/>
  <c r="E24" i="2"/>
  <c r="E26" s="1"/>
  <c r="E28" s="1"/>
  <c r="F30" s="1"/>
  <c r="C12" i="1"/>
  <c r="F26" i="2" l="1"/>
  <c r="F24"/>
  <c r="D12" i="1"/>
  <c r="I24" i="2" l="1"/>
  <c r="I26" s="1"/>
  <c r="J24"/>
  <c r="J26" s="1"/>
  <c r="M16" i="1" s="1"/>
  <c r="K24" i="2"/>
  <c r="K26" s="1"/>
  <c r="N16" i="1" s="1"/>
  <c r="E30" i="2"/>
  <c r="E32" s="1"/>
  <c r="D16" i="1" s="1"/>
  <c r="E12"/>
  <c r="L16" l="1"/>
  <c r="Z16" s="1"/>
  <c r="K28" i="2"/>
  <c r="B16" i="1"/>
  <c r="E16" s="1"/>
  <c r="C16"/>
  <c r="O23" l="1"/>
  <c r="O26" s="1"/>
  <c r="F32" i="2"/>
  <c r="B23" i="1"/>
  <c r="O28" l="1"/>
  <c r="O29"/>
  <c r="U23"/>
  <c r="U26" s="1"/>
  <c r="Q23"/>
  <c r="Q26" s="1"/>
  <c r="T23"/>
  <c r="T26" s="1"/>
  <c r="X23"/>
  <c r="X26" s="1"/>
  <c r="W23"/>
  <c r="W26" s="1"/>
  <c r="R23"/>
  <c r="R26" s="1"/>
  <c r="V23"/>
  <c r="V26" s="1"/>
  <c r="S23"/>
  <c r="P23"/>
  <c r="P26" s="1"/>
  <c r="C23"/>
  <c r="D23"/>
  <c r="S26" l="1"/>
  <c r="S28" s="1"/>
  <c r="P28"/>
  <c r="T29"/>
  <c r="T28"/>
  <c r="R29"/>
  <c r="R28"/>
  <c r="Q28"/>
  <c r="Q29"/>
  <c r="W28"/>
  <c r="W29"/>
  <c r="X28"/>
  <c r="X29"/>
  <c r="V28"/>
  <c r="V29"/>
  <c r="U28"/>
  <c r="U29"/>
  <c r="S29"/>
  <c r="Z10"/>
  <c r="E23"/>
  <c r="E10"/>
  <c r="P29" l="1"/>
  <c r="L23"/>
  <c r="L26" s="1"/>
  <c r="K23"/>
  <c r="K26" s="1"/>
  <c r="N23"/>
  <c r="N26" s="1"/>
  <c r="M23"/>
  <c r="M26" s="1"/>
  <c r="O29" i="4"/>
  <c r="K28" i="1" l="1"/>
  <c r="K29"/>
  <c r="N28"/>
  <c r="N29"/>
  <c r="M28"/>
  <c r="M29"/>
  <c r="L28"/>
  <c r="L29"/>
  <c r="J23"/>
  <c r="J26" s="1"/>
  <c r="Z26" l="1"/>
  <c r="Z23"/>
  <c r="J29" l="1"/>
  <c r="Z29" s="1"/>
  <c r="J28"/>
  <c r="Z28" s="1"/>
</calcChain>
</file>

<file path=xl/sharedStrings.xml><?xml version="1.0" encoding="utf-8"?>
<sst xmlns="http://schemas.openxmlformats.org/spreadsheetml/2006/main" count="607" uniqueCount="201">
  <si>
    <t>Activity</t>
  </si>
  <si>
    <t>Lead Agency</t>
  </si>
  <si>
    <t>Workforce</t>
  </si>
  <si>
    <t>Budget</t>
  </si>
  <si>
    <t>Funding Source</t>
  </si>
  <si>
    <t>Project</t>
  </si>
  <si>
    <t>County</t>
  </si>
  <si>
    <t>Contractor</t>
  </si>
  <si>
    <t>Design</t>
  </si>
  <si>
    <t>FY 2013</t>
  </si>
  <si>
    <t>FY 2014</t>
  </si>
  <si>
    <t>FY 2015</t>
  </si>
  <si>
    <t>Total TIGER Funds</t>
  </si>
  <si>
    <t>Total Other Funds</t>
  </si>
  <si>
    <t>1Q</t>
  </si>
  <si>
    <t>2Q</t>
  </si>
  <si>
    <t>3Q</t>
  </si>
  <si>
    <t>4Q</t>
  </si>
  <si>
    <t>FY 2016</t>
  </si>
  <si>
    <t>FY 2017</t>
  </si>
  <si>
    <t>TOTAL Project Implementation Cost</t>
  </si>
  <si>
    <t>1. Planning, Design &amp; Engineering</t>
  </si>
  <si>
    <t>TIGER 80%</t>
  </si>
  <si>
    <t>Construction  - Start Date - September 2013</t>
  </si>
  <si>
    <t>Construction</t>
  </si>
  <si>
    <t>Consultant</t>
  </si>
  <si>
    <t>West Hyattsville Access Improvments - Project Start Date - January 2012</t>
  </si>
  <si>
    <t>West Hyattsville Project Access Improvements</t>
  </si>
  <si>
    <t>Jamestown Road Sidewalk Construction</t>
  </si>
  <si>
    <t>WMATA Secure Bike Station</t>
  </si>
  <si>
    <t>Jamestown Road Sidewalk Design</t>
  </si>
  <si>
    <t>(note: Design costs are not a part of Tiger request)</t>
  </si>
  <si>
    <t>Combined Pentagon / Pentagon City / Crystal City Access Improvement Project</t>
  </si>
  <si>
    <t>1. Planning</t>
  </si>
  <si>
    <t>Army Navy Drive</t>
  </si>
  <si>
    <t>Planning</t>
  </si>
  <si>
    <t>30% design</t>
  </si>
  <si>
    <t>FHWA</t>
  </si>
  <si>
    <t>Finished as of FY 2011.</t>
  </si>
  <si>
    <t>100% design and site coordination</t>
  </si>
  <si>
    <t>Arlington</t>
  </si>
  <si>
    <t>Completed mid-FY2013</t>
  </si>
  <si>
    <t>Bikesharing 5 initial stations</t>
  </si>
  <si>
    <t>Plan station locations</t>
  </si>
  <si>
    <t>To be completed FY2012</t>
  </si>
  <si>
    <t>Obtain environmental clearance</t>
  </si>
  <si>
    <t>Bikesharing 5 additional stations</t>
  </si>
  <si>
    <t>2. Implementation</t>
  </si>
  <si>
    <t>Army Navy Drive Construction</t>
  </si>
  <si>
    <t>Arlington portion</t>
  </si>
  <si>
    <t>TIGER portion</t>
  </si>
  <si>
    <t>TIGER</t>
  </si>
  <si>
    <t>Procurement</t>
  </si>
  <si>
    <t>Installation</t>
  </si>
  <si>
    <t>New Carrollton Safety Measures for the New Carrollton Metro Station</t>
  </si>
  <si>
    <t>1. Final Design &amp; Engineering</t>
  </si>
  <si>
    <t xml:space="preserve">2. Construct Pedestrian Crossings </t>
  </si>
  <si>
    <t>2.4 Install six new lights along roadway for Ellin Road</t>
  </si>
  <si>
    <t xml:space="preserve">2.5 Upgrade existing geometry and signal to the latest ADA standards for pedestrian and overall safety </t>
  </si>
  <si>
    <t xml:space="preserve"> at Garden City Drive at Corporate Place</t>
  </si>
  <si>
    <t xml:space="preserve">2.6   Install pedestrian walkway on Ellin Road From Veterans Parkway to Emerson Place </t>
  </si>
  <si>
    <t xml:space="preserve"> </t>
  </si>
  <si>
    <t>3.0  Consolidate Bus Stops on Annapolis Road (WMATA)</t>
  </si>
  <si>
    <t>3.2 Move Bus Stop close to Intersection of Annapolis Road and Riverdale Road</t>
  </si>
  <si>
    <t>Forest Glen Pedestrian Passageway</t>
  </si>
  <si>
    <t xml:space="preserve">Forest Glen Pedestrian Passageway under </t>
  </si>
  <si>
    <t>Georgia Avenue</t>
  </si>
  <si>
    <t>Management and Review (Mont. County)</t>
  </si>
  <si>
    <t>Agency (SHA and WMATA) Review</t>
  </si>
  <si>
    <t>Planning/NEPA Documentation</t>
  </si>
  <si>
    <t>2. Final Design and Engineering</t>
  </si>
  <si>
    <t xml:space="preserve">Design </t>
  </si>
  <si>
    <t>Final design and engineering for project</t>
  </si>
  <si>
    <t>Construction Management and Inspection (Mont. County)</t>
  </si>
  <si>
    <t>3. Land Acquisition</t>
  </si>
  <si>
    <t>Acquisition</t>
  </si>
  <si>
    <t>Acquire required Right-of-Way, Easements</t>
  </si>
  <si>
    <t>4. Construct Pedestrian Passageway</t>
  </si>
  <si>
    <t>Utility Relocation</t>
  </si>
  <si>
    <t>Install Support of Excavation</t>
  </si>
  <si>
    <t>Excavate and Install Temporary Bridge</t>
  </si>
  <si>
    <t>Construct Ped. Passageway and Station Tie-In</t>
  </si>
  <si>
    <t>Conduct Roadway Restoration</t>
  </si>
  <si>
    <t>5. Bike Share Stations</t>
  </si>
  <si>
    <t>Construct Bike Share Stations</t>
  </si>
  <si>
    <t>Management and Administration  (MWCOG)</t>
  </si>
  <si>
    <t>Project (By Study Corridor)</t>
  </si>
  <si>
    <t>VRE Bike Lockers</t>
  </si>
  <si>
    <t>1. Install Bike Lockers</t>
  </si>
  <si>
    <t>Install bike lockers at eight (8) locations</t>
  </si>
  <si>
    <t>Broad Run</t>
  </si>
  <si>
    <t>Purchase lockers</t>
  </si>
  <si>
    <t>Procure</t>
  </si>
  <si>
    <t>VRE</t>
  </si>
  <si>
    <t>Manufacturer</t>
  </si>
  <si>
    <t>Prepare site</t>
  </si>
  <si>
    <t>Construct</t>
  </si>
  <si>
    <t>Install</t>
  </si>
  <si>
    <t>Permits, Inspection, Administration</t>
  </si>
  <si>
    <t>Rippon</t>
  </si>
  <si>
    <t>Woodbridge</t>
  </si>
  <si>
    <t>Manassas</t>
  </si>
  <si>
    <t>Manassas Park</t>
  </si>
  <si>
    <t>Rolling Rd.</t>
  </si>
  <si>
    <t>Lorton</t>
  </si>
  <si>
    <t>Franconia-Springfield</t>
  </si>
  <si>
    <t>Purchase lockers + bike racks</t>
  </si>
  <si>
    <t>CY 2016</t>
  </si>
  <si>
    <t>Fort Totten Station Access</t>
  </si>
  <si>
    <t>DDOT</t>
  </si>
  <si>
    <t xml:space="preserve">Complete final design (30% to 100%) and engineering for project. </t>
  </si>
  <si>
    <t>2. Construction</t>
  </si>
  <si>
    <t>2.1  1st Place NE Section</t>
  </si>
  <si>
    <t>2.2 WMATA  property Section</t>
  </si>
  <si>
    <t>2.3 Pedestrian Plaza</t>
  </si>
  <si>
    <t>Pavers, secure bike parking, landscape</t>
  </si>
  <si>
    <t>2.4 Galloway Street NE Section</t>
  </si>
  <si>
    <t>Total Budget</t>
  </si>
  <si>
    <t>Local</t>
  </si>
  <si>
    <t>COG PM Costs (3.5%)</t>
  </si>
  <si>
    <t>Plus COG PM Costs (3.5%)</t>
  </si>
  <si>
    <t>Match</t>
  </si>
  <si>
    <t>COG PM Costs</t>
  </si>
  <si>
    <t>TOTAL Project Construction Costs</t>
  </si>
  <si>
    <t>Total TIGER request</t>
  </si>
  <si>
    <t>COG PM (3.5%) of construction</t>
  </si>
  <si>
    <t>TOTAL</t>
  </si>
  <si>
    <t>Total Construction Costs</t>
  </si>
  <si>
    <t>Overall</t>
  </si>
  <si>
    <t>Total TIGER Funds (%)</t>
  </si>
  <si>
    <t>Total Other Funds (% match)</t>
  </si>
  <si>
    <t>Project Implementation Cost</t>
  </si>
  <si>
    <t>NOT FUNDED BY TIGER - Included in Local Matching</t>
  </si>
  <si>
    <t>Total Planning Costs - all Local</t>
  </si>
  <si>
    <t>Total Construction Costs (not rounded)</t>
  </si>
  <si>
    <t>Included in TIGER Request</t>
  </si>
  <si>
    <t xml:space="preserve"> Project Implementation Cost</t>
  </si>
  <si>
    <t xml:space="preserve"> Construction Costs</t>
  </si>
  <si>
    <t>CY 2013</t>
  </si>
  <si>
    <t>Jobs Created/Retained</t>
  </si>
  <si>
    <t>Direct, On-Project Jobs</t>
  </si>
  <si>
    <t>Induced Jobs</t>
  </si>
  <si>
    <t>District Of Columbia</t>
  </si>
  <si>
    <t>Maryland</t>
  </si>
  <si>
    <t>Virginia</t>
  </si>
  <si>
    <t>Fort Totten / 1st Place-Galloway Road Access Improvement Project</t>
  </si>
  <si>
    <t>Forest Glen Metrorail Access Project</t>
  </si>
  <si>
    <t>Pedestrian Safety Measures for the New Carrollton Metrorail Station</t>
  </si>
  <si>
    <t>West Hyattsville Metrorail Station Access Improvements</t>
  </si>
  <si>
    <t>Arlington Army Navy Drive Multimodal Access Improvement Project</t>
  </si>
  <si>
    <t>Bicycle Lockers at VRE Stations</t>
  </si>
  <si>
    <t>TOTALS</t>
  </si>
  <si>
    <t>FY 2012 TPB TIGER Grant Application - Cost and Schedule</t>
  </si>
  <si>
    <t>Rosslyn Circle Crossing</t>
  </si>
  <si>
    <t>FY2013</t>
  </si>
  <si>
    <t>3.1  Move Bus Stop closer to intersection of Annapolis Road and 85th Ave</t>
  </si>
  <si>
    <t>2.9 Provide 10 benches</t>
  </si>
  <si>
    <t>2.8  Provide 10 trash receptacles</t>
  </si>
  <si>
    <t>Project Construction Cost</t>
  </si>
  <si>
    <t>TOTAL Project Implementation Cost (inc COG PM)</t>
  </si>
  <si>
    <t>VRE, MWCOG</t>
  </si>
  <si>
    <t>VRE, Fairfax Co., MWCOG</t>
  </si>
  <si>
    <t>VRE, Fairfax Co.</t>
  </si>
  <si>
    <t>Construction Management and Inspection</t>
  </si>
  <si>
    <t>CY 2014</t>
  </si>
  <si>
    <t>CY 2015</t>
  </si>
  <si>
    <t>Existing or New Infrastructure</t>
  </si>
  <si>
    <t>SUM</t>
  </si>
  <si>
    <t>Excavation, Milling, grading, curb and gutter, asphalt, pavement markings, catch basins, street lights</t>
  </si>
  <si>
    <t>Excavation, Milling, grading, curb and gutter, asphalt, pavement markings, catch basins, street lights, rain garden</t>
  </si>
  <si>
    <t>Excavation, Milling, grading, curb and gutter, asphalt, pavement markings, retaining wall</t>
  </si>
  <si>
    <t>CY 2012</t>
  </si>
  <si>
    <t>Ex. / New</t>
  </si>
  <si>
    <t xml:space="preserve"> Arl Co Management and Review</t>
  </si>
  <si>
    <t>planning</t>
  </si>
  <si>
    <t xml:space="preserve">FHWA - </t>
  </si>
  <si>
    <t>VDOT / FHWA Agency Review</t>
  </si>
  <si>
    <t xml:space="preserve">    (Tasks completed 2010)</t>
  </si>
  <si>
    <t>25% Engineering</t>
  </si>
  <si>
    <t xml:space="preserve">    (Tasks completed 2011)</t>
  </si>
  <si>
    <t>50% Engineering</t>
  </si>
  <si>
    <t>Public Involvement</t>
  </si>
  <si>
    <t>60% Engineering</t>
  </si>
  <si>
    <t>VDOT Management and Administration</t>
  </si>
  <si>
    <t xml:space="preserve">Bid Preparation </t>
  </si>
  <si>
    <t>Design Contingency / Final VDOT Revisions</t>
  </si>
  <si>
    <t>ROW</t>
  </si>
  <si>
    <t>Dev. Contribution / Tiger</t>
  </si>
  <si>
    <t>4. Construct trail, intersection and sidewalk upgrades</t>
  </si>
  <si>
    <t>VDOT Agency Inspection</t>
  </si>
  <si>
    <t xml:space="preserve">Construct Ped and Bike access Improv. </t>
  </si>
  <si>
    <t>Developer Contribution</t>
  </si>
  <si>
    <t xml:space="preserve">FHWA / RSTP    (80%) </t>
  </si>
  <si>
    <t>State Match    (20%)</t>
  </si>
  <si>
    <t>TOTAL Funding Required</t>
  </si>
  <si>
    <t>15% contingency and MWCOG PM fee  (of const. cost)</t>
  </si>
  <si>
    <t>Total Required TIGER Funds</t>
  </si>
  <si>
    <t>RTSP Grant</t>
  </si>
  <si>
    <t>Structure and Bridge Modifications</t>
  </si>
  <si>
    <t>Structure and Bridge Modifications Ph II</t>
  </si>
  <si>
    <t>Maintenance of Traffic</t>
  </si>
</sst>
</file>

<file path=xl/styles.xml><?xml version="1.0" encoding="utf-8"?>
<styleSheet xmlns="http://schemas.openxmlformats.org/spreadsheetml/2006/main">
  <numFmts count="11"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&quot;$&quot;#,##0"/>
    <numFmt numFmtId="166" formatCode="0.0%"/>
    <numFmt numFmtId="167" formatCode="_(&quot;$&quot;* #,##0_);_(&quot;$&quot;* \(#,##0\);_(&quot;$&quot;* &quot;-&quot;?_);_(@_)"/>
    <numFmt numFmtId="168" formatCode="_(&quot;$&quot;* #,##0.000_);_(&quot;$&quot;* \(#,##0.000\);_(&quot;$&quot;* &quot;-&quot;?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name val="Arial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1"/>
      <color indexed="8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slantDashDot">
        <color auto="1"/>
      </left>
      <right/>
      <top/>
      <bottom/>
      <diagonal/>
    </border>
    <border>
      <left style="slantDashDot">
        <color auto="1"/>
      </left>
      <right/>
      <top style="thin">
        <color indexed="64"/>
      </top>
      <bottom style="double">
        <color indexed="64"/>
      </bottom>
      <diagonal/>
    </border>
    <border>
      <left/>
      <right style="slantDashDot">
        <color auto="1"/>
      </right>
      <top/>
      <bottom/>
      <diagonal/>
    </border>
    <border>
      <left/>
      <right/>
      <top style="double">
        <color indexed="64"/>
      </top>
      <bottom/>
      <diagonal/>
    </border>
    <border>
      <left style="slantDashDot">
        <color indexed="64"/>
      </left>
      <right/>
      <top/>
      <bottom style="thin">
        <color indexed="64"/>
      </bottom>
      <diagonal/>
    </border>
    <border>
      <left/>
      <right style="slantDashDot">
        <color auto="1"/>
      </right>
      <top style="thin">
        <color indexed="64"/>
      </top>
      <bottom style="double">
        <color indexed="64"/>
      </bottom>
      <diagonal/>
    </border>
    <border>
      <left/>
      <right style="slantDashDot">
        <color indexed="64"/>
      </right>
      <top style="double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slantDashDot">
        <color auto="1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12" borderId="0" applyNumberFormat="0" applyBorder="0" applyAlignment="0" applyProtection="0"/>
    <xf numFmtId="0" fontId="14" fillId="13" borderId="0" applyNumberFormat="0" applyBorder="0" applyAlignment="0" applyProtection="0"/>
  </cellStyleXfs>
  <cellXfs count="286">
    <xf numFmtId="0" fontId="0" fillId="0" borderId="0" xfId="0"/>
    <xf numFmtId="0" fontId="0" fillId="2" borderId="1" xfId="0" applyFill="1" applyBorder="1"/>
    <xf numFmtId="0" fontId="3" fillId="2" borderId="1" xfId="0" applyFont="1" applyFill="1" applyBorder="1"/>
    <xf numFmtId="0" fontId="0" fillId="0" borderId="0" xfId="0" applyBorder="1"/>
    <xf numFmtId="0" fontId="4" fillId="0" borderId="0" xfId="0" applyFont="1" applyBorder="1"/>
    <xf numFmtId="164" fontId="0" fillId="2" borderId="1" xfId="1" applyNumberFormat="1" applyFont="1" applyFill="1" applyBorder="1"/>
    <xf numFmtId="0" fontId="0" fillId="0" borderId="2" xfId="0" applyBorder="1"/>
    <xf numFmtId="0" fontId="0" fillId="2" borderId="3" xfId="0" applyFill="1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/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2" xfId="0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 indent="1"/>
    </xf>
    <xf numFmtId="0" fontId="0" fillId="0" borderId="0" xfId="0" applyFill="1" applyAlignment="1">
      <alignment horizontal="left" indent="1"/>
    </xf>
    <xf numFmtId="164" fontId="0" fillId="0" borderId="0" xfId="0" applyNumberFormat="1" applyFill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/>
    <xf numFmtId="6" fontId="0" fillId="0" borderId="0" xfId="0" applyNumberFormat="1" applyFill="1"/>
    <xf numFmtId="6" fontId="0" fillId="0" borderId="2" xfId="0" applyNumberFormat="1" applyFill="1" applyBorder="1"/>
    <xf numFmtId="6" fontId="0" fillId="0" borderId="0" xfId="0" applyNumberForma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 indent="1"/>
    </xf>
    <xf numFmtId="0" fontId="3" fillId="0" borderId="2" xfId="0" applyFont="1" applyFill="1" applyBorder="1" applyAlignment="1">
      <alignment horizontal="left" indent="1"/>
    </xf>
    <xf numFmtId="6" fontId="0" fillId="0" borderId="0" xfId="0" applyNumberFormat="1"/>
    <xf numFmtId="0" fontId="0" fillId="0" borderId="0" xfId="0" applyFont="1" applyFill="1" applyBorder="1"/>
    <xf numFmtId="164" fontId="0" fillId="0" borderId="0" xfId="1" applyNumberFormat="1" applyFont="1" applyFill="1" applyBorder="1"/>
    <xf numFmtId="165" fontId="0" fillId="0" borderId="2" xfId="0" applyNumberFormat="1" applyFill="1" applyBorder="1"/>
    <xf numFmtId="165" fontId="0" fillId="0" borderId="5" xfId="0" applyNumberFormat="1" applyFill="1" applyBorder="1"/>
    <xf numFmtId="165" fontId="0" fillId="0" borderId="0" xfId="0" applyNumberFormat="1" applyFill="1"/>
    <xf numFmtId="165" fontId="0" fillId="0" borderId="0" xfId="0" applyNumberFormat="1" applyFill="1" applyBorder="1"/>
    <xf numFmtId="0" fontId="0" fillId="0" borderId="0" xfId="0" applyFill="1" applyBorder="1" applyAlignment="1">
      <alignment horizontal="center"/>
    </xf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5" fillId="5" borderId="1" xfId="0" applyFont="1" applyFill="1" applyBorder="1"/>
    <xf numFmtId="0" fontId="0" fillId="5" borderId="3" xfId="0" applyFill="1" applyBorder="1"/>
    <xf numFmtId="0" fontId="0" fillId="5" borderId="1" xfId="0" applyFill="1" applyBorder="1"/>
    <xf numFmtId="0" fontId="6" fillId="5" borderId="1" xfId="0" applyFont="1" applyFill="1" applyBorder="1"/>
    <xf numFmtId="164" fontId="0" fillId="5" borderId="1" xfId="1" applyNumberFormat="1" applyFont="1" applyFill="1" applyBorder="1"/>
    <xf numFmtId="0" fontId="6" fillId="0" borderId="0" xfId="0" applyFont="1" applyFill="1" applyBorder="1"/>
    <xf numFmtId="0" fontId="0" fillId="0" borderId="4" xfId="0" applyBorder="1"/>
    <xf numFmtId="164" fontId="1" fillId="5" borderId="1" xfId="1" applyNumberFormat="1" applyFont="1" applyFill="1" applyBorder="1"/>
    <xf numFmtId="0" fontId="6" fillId="0" borderId="0" xfId="0" applyFont="1" applyFill="1" applyBorder="1" applyAlignment="1">
      <alignment horizontal="left"/>
    </xf>
    <xf numFmtId="0" fontId="3" fillId="0" borderId="0" xfId="0" applyFont="1" applyAlignment="1">
      <alignment horizontal="left" indent="1"/>
    </xf>
    <xf numFmtId="42" fontId="1" fillId="0" borderId="0" xfId="1" applyNumberFormat="1" applyFont="1" applyFill="1"/>
    <xf numFmtId="0" fontId="6" fillId="0" borderId="0" xfId="0" applyFont="1" applyFill="1" applyBorder="1" applyAlignment="1">
      <alignment horizontal="left" indent="1"/>
    </xf>
    <xf numFmtId="0" fontId="0" fillId="0" borderId="0" xfId="0" applyAlignment="1">
      <alignment horizontal="left" inden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3" xfId="0" applyFont="1" applyFill="1" applyBorder="1"/>
    <xf numFmtId="0" fontId="0" fillId="0" borderId="2" xfId="0" applyFill="1" applyBorder="1" applyAlignment="1">
      <alignment horizontal="center"/>
    </xf>
    <xf numFmtId="166" fontId="0" fillId="0" borderId="0" xfId="2" applyNumberFormat="1" applyFont="1"/>
    <xf numFmtId="8" fontId="7" fillId="0" borderId="0" xfId="0" applyNumberFormat="1" applyFont="1"/>
    <xf numFmtId="0" fontId="3" fillId="6" borderId="0" xfId="0" applyFont="1" applyFill="1"/>
    <xf numFmtId="6" fontId="0" fillId="6" borderId="0" xfId="0" applyNumberFormat="1" applyFill="1"/>
    <xf numFmtId="0" fontId="0" fillId="6" borderId="0" xfId="0" applyFill="1" applyAlignment="1">
      <alignment horizontal="center"/>
    </xf>
    <xf numFmtId="0" fontId="0" fillId="6" borderId="2" xfId="0" applyFill="1" applyBorder="1"/>
    <xf numFmtId="0" fontId="0" fillId="6" borderId="0" xfId="0" applyFill="1" applyBorder="1"/>
    <xf numFmtId="0" fontId="8" fillId="0" borderId="0" xfId="0" applyFont="1" applyFill="1" applyBorder="1" applyAlignment="1">
      <alignment horizontal="left"/>
    </xf>
    <xf numFmtId="164" fontId="2" fillId="2" borderId="1" xfId="1" applyNumberFormat="1" applyFont="1" applyFill="1" applyBorder="1" applyAlignment="1">
      <alignment horizontal="center"/>
    </xf>
    <xf numFmtId="9" fontId="0" fillId="0" borderId="0" xfId="2" applyFont="1"/>
    <xf numFmtId="0" fontId="4" fillId="0" borderId="0" xfId="0" applyFont="1" applyFill="1" applyBorder="1"/>
    <xf numFmtId="0" fontId="0" fillId="0" borderId="0" xfId="0" applyFill="1" applyBorder="1" applyAlignment="1">
      <alignment horizontal="left" wrapText="1" indent="2"/>
    </xf>
    <xf numFmtId="0" fontId="0" fillId="0" borderId="0" xfId="0" applyFill="1" applyAlignment="1">
      <alignment vertical="top"/>
    </xf>
    <xf numFmtId="6" fontId="0" fillId="0" borderId="0" xfId="0" applyNumberFormat="1" applyFill="1" applyAlignment="1">
      <alignment vertical="top"/>
    </xf>
    <xf numFmtId="0" fontId="0" fillId="0" borderId="0" xfId="0" quotePrefix="1" applyFill="1"/>
    <xf numFmtId="0" fontId="0" fillId="0" borderId="0" xfId="0" applyFill="1" applyBorder="1" applyAlignment="1">
      <alignment horizontal="left" indent="2"/>
    </xf>
    <xf numFmtId="164" fontId="2" fillId="2" borderId="1" xfId="1" applyNumberFormat="1" applyFont="1" applyFill="1" applyBorder="1"/>
    <xf numFmtId="9" fontId="0" fillId="0" borderId="0" xfId="2" applyFont="1" applyFill="1"/>
    <xf numFmtId="0" fontId="0" fillId="7" borderId="1" xfId="0" applyFill="1" applyBorder="1" applyAlignment="1">
      <alignment horizontal="center"/>
    </xf>
    <xf numFmtId="0" fontId="0" fillId="7" borderId="0" xfId="0" applyFill="1"/>
    <xf numFmtId="0" fontId="0" fillId="7" borderId="0" xfId="0" applyFill="1" applyAlignment="1">
      <alignment horizontal="center"/>
    </xf>
    <xf numFmtId="6" fontId="0" fillId="7" borderId="0" xfId="0" applyNumberFormat="1" applyFill="1"/>
    <xf numFmtId="0" fontId="2" fillId="7" borderId="1" xfId="0" applyFont="1" applyFill="1" applyBorder="1" applyAlignment="1">
      <alignment horizontal="center"/>
    </xf>
    <xf numFmtId="0" fontId="0" fillId="7" borderId="4" xfId="0" applyFill="1" applyBorder="1"/>
    <xf numFmtId="42" fontId="0" fillId="7" borderId="0" xfId="0" applyNumberFormat="1" applyFill="1" applyAlignment="1">
      <alignment horizontal="center"/>
    </xf>
    <xf numFmtId="6" fontId="3" fillId="0" borderId="0" xfId="0" applyNumberFormat="1" applyFont="1" applyFill="1"/>
    <xf numFmtId="9" fontId="0" fillId="0" borderId="0" xfId="2" applyNumberFormat="1" applyFont="1"/>
    <xf numFmtId="0" fontId="0" fillId="0" borderId="0" xfId="0" applyFont="1"/>
    <xf numFmtId="6" fontId="0" fillId="0" borderId="0" xfId="0" applyNumberFormat="1" applyFill="1" applyBorder="1" applyAlignment="1">
      <alignment horizontal="center"/>
    </xf>
    <xf numFmtId="164" fontId="0" fillId="0" borderId="2" xfId="1" applyNumberFormat="1" applyFont="1" applyFill="1" applyBorder="1"/>
    <xf numFmtId="6" fontId="0" fillId="3" borderId="0" xfId="0" applyNumberFormat="1" applyFill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0" fillId="2" borderId="7" xfId="0" applyFill="1" applyBorder="1"/>
    <xf numFmtId="0" fontId="0" fillId="0" borderId="8" xfId="0" applyBorder="1"/>
    <xf numFmtId="0" fontId="0" fillId="0" borderId="4" xfId="0" applyFill="1" applyBorder="1"/>
    <xf numFmtId="6" fontId="0" fillId="0" borderId="4" xfId="0" applyNumberFormat="1" applyFill="1" applyBorder="1"/>
    <xf numFmtId="164" fontId="0" fillId="0" borderId="0" xfId="1" applyNumberFormat="1" applyFont="1"/>
    <xf numFmtId="164" fontId="0" fillId="7" borderId="0" xfId="1" applyNumberFormat="1" applyFont="1" applyFill="1" applyBorder="1"/>
    <xf numFmtId="164" fontId="0" fillId="7" borderId="0" xfId="1" applyNumberFormat="1" applyFont="1" applyFill="1"/>
    <xf numFmtId="164" fontId="0" fillId="7" borderId="0" xfId="0" applyNumberFormat="1" applyFill="1"/>
    <xf numFmtId="166" fontId="0" fillId="0" borderId="0" xfId="2" applyNumberFormat="1" applyFont="1" applyAlignment="1">
      <alignment horizontal="center"/>
    </xf>
    <xf numFmtId="166" fontId="0" fillId="0" borderId="0" xfId="0" applyNumberFormat="1" applyFill="1"/>
    <xf numFmtId="166" fontId="0" fillId="0" borderId="0" xfId="0" applyNumberFormat="1"/>
    <xf numFmtId="164" fontId="0" fillId="7" borderId="2" xfId="1" applyNumberFormat="1" applyFont="1" applyFill="1" applyBorder="1"/>
    <xf numFmtId="6" fontId="0" fillId="7" borderId="0" xfId="0" applyNumberFormat="1" applyFill="1" applyBorder="1" applyAlignment="1">
      <alignment horizontal="center"/>
    </xf>
    <xf numFmtId="6" fontId="0" fillId="7" borderId="4" xfId="0" applyNumberFormat="1" applyFill="1" applyBorder="1" applyAlignment="1">
      <alignment horizontal="center"/>
    </xf>
    <xf numFmtId="166" fontId="0" fillId="7" borderId="0" xfId="2" applyNumberFormat="1" applyFont="1" applyFill="1" applyAlignment="1">
      <alignment horizontal="center"/>
    </xf>
    <xf numFmtId="43" fontId="0" fillId="0" borderId="0" xfId="3" applyFont="1"/>
    <xf numFmtId="43" fontId="0" fillId="0" borderId="0" xfId="0" applyNumberFormat="1"/>
    <xf numFmtId="0" fontId="0" fillId="5" borderId="7" xfId="0" applyFill="1" applyBorder="1"/>
    <xf numFmtId="0" fontId="0" fillId="7" borderId="2" xfId="0" applyFill="1" applyBorder="1"/>
    <xf numFmtId="0" fontId="0" fillId="7" borderId="2" xfId="0" applyFill="1" applyBorder="1" applyAlignment="1">
      <alignment horizontal="center"/>
    </xf>
    <xf numFmtId="0" fontId="0" fillId="0" borderId="0" xfId="0" applyFill="1" applyBorder="1" applyAlignment="1">
      <alignment horizontal="left" indent="1"/>
    </xf>
    <xf numFmtId="43" fontId="0" fillId="7" borderId="0" xfId="3" applyFont="1" applyFill="1"/>
    <xf numFmtId="0" fontId="9" fillId="9" borderId="0" xfId="0" applyFont="1" applyFill="1"/>
    <xf numFmtId="0" fontId="2" fillId="10" borderId="0" xfId="0" applyFont="1" applyFill="1"/>
    <xf numFmtId="0" fontId="2" fillId="8" borderId="0" xfId="0" applyFont="1" applyFill="1"/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2" borderId="1" xfId="0" applyFont="1" applyFill="1" applyBorder="1"/>
    <xf numFmtId="0" fontId="0" fillId="0" borderId="0" xfId="0" applyFont="1" applyFill="1"/>
    <xf numFmtId="0" fontId="10" fillId="0" borderId="0" xfId="0" applyFont="1"/>
    <xf numFmtId="0" fontId="0" fillId="0" borderId="2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center"/>
    </xf>
    <xf numFmtId="0" fontId="0" fillId="2" borderId="3" xfId="0" applyFont="1" applyFill="1" applyBorder="1"/>
    <xf numFmtId="0" fontId="0" fillId="2" borderId="7" xfId="0" applyFont="1" applyFill="1" applyBorder="1"/>
    <xf numFmtId="0" fontId="0" fillId="0" borderId="2" xfId="0" applyFont="1" applyBorder="1"/>
    <xf numFmtId="0" fontId="0" fillId="0" borderId="0" xfId="0" applyFont="1" applyBorder="1"/>
    <xf numFmtId="0" fontId="0" fillId="0" borderId="4" xfId="0" applyFont="1" applyBorder="1"/>
    <xf numFmtId="0" fontId="11" fillId="0" borderId="0" xfId="0" applyFont="1" applyBorder="1"/>
    <xf numFmtId="0" fontId="0" fillId="2" borderId="1" xfId="0" applyFont="1" applyFill="1" applyBorder="1" applyAlignment="1">
      <alignment horizontal="center"/>
    </xf>
    <xf numFmtId="165" fontId="0" fillId="0" borderId="0" xfId="0" applyNumberFormat="1" applyFont="1" applyFill="1"/>
    <xf numFmtId="165" fontId="0" fillId="0" borderId="0" xfId="0" applyNumberFormat="1" applyFont="1" applyAlignment="1">
      <alignment horizontal="center"/>
    </xf>
    <xf numFmtId="165" fontId="0" fillId="0" borderId="2" xfId="0" applyNumberFormat="1" applyFont="1" applyFill="1" applyBorder="1"/>
    <xf numFmtId="165" fontId="0" fillId="0" borderId="2" xfId="0" applyNumberFormat="1" applyFont="1" applyBorder="1"/>
    <xf numFmtId="165" fontId="0" fillId="0" borderId="0" xfId="0" applyNumberFormat="1" applyFont="1" applyBorder="1"/>
    <xf numFmtId="0" fontId="0" fillId="0" borderId="2" xfId="0" applyFont="1" applyFill="1" applyBorder="1"/>
    <xf numFmtId="0" fontId="0" fillId="7" borderId="1" xfId="0" applyFont="1" applyFill="1" applyBorder="1" applyAlignment="1">
      <alignment horizontal="center"/>
    </xf>
    <xf numFmtId="0" fontId="0" fillId="4" borderId="3" xfId="0" applyFont="1" applyFill="1" applyBorder="1"/>
    <xf numFmtId="0" fontId="0" fillId="4" borderId="1" xfId="0" applyFont="1" applyFill="1" applyBorder="1"/>
    <xf numFmtId="4" fontId="0" fillId="0" borderId="0" xfId="0" applyNumberFormat="1" applyFont="1" applyFill="1"/>
    <xf numFmtId="4" fontId="0" fillId="7" borderId="0" xfId="0" applyNumberFormat="1" applyFont="1" applyFill="1"/>
    <xf numFmtId="4" fontId="0" fillId="0" borderId="2" xfId="0" applyNumberFormat="1" applyFont="1" applyFill="1" applyBorder="1"/>
    <xf numFmtId="4" fontId="0" fillId="0" borderId="2" xfId="0" applyNumberFormat="1" applyFont="1" applyBorder="1"/>
    <xf numFmtId="165" fontId="0" fillId="0" borderId="4" xfId="0" applyNumberFormat="1" applyFont="1" applyBorder="1"/>
    <xf numFmtId="0" fontId="0" fillId="0" borderId="0" xfId="0" quotePrefix="1" applyFont="1" applyFill="1"/>
    <xf numFmtId="3" fontId="0" fillId="7" borderId="0" xfId="0" applyNumberFormat="1" applyFont="1" applyFill="1"/>
    <xf numFmtId="6" fontId="0" fillId="0" borderId="0" xfId="0" applyNumberFormat="1" applyFont="1" applyFill="1"/>
    <xf numFmtId="3" fontId="0" fillId="0" borderId="0" xfId="0" applyNumberFormat="1" applyFont="1" applyFill="1"/>
    <xf numFmtId="3" fontId="0" fillId="0" borderId="2" xfId="0" applyNumberFormat="1" applyFont="1" applyBorder="1"/>
    <xf numFmtId="0" fontId="0" fillId="0" borderId="9" xfId="0" applyFont="1" applyFill="1" applyBorder="1"/>
    <xf numFmtId="6" fontId="0" fillId="0" borderId="9" xfId="0" applyNumberFormat="1" applyFont="1" applyFill="1" applyBorder="1"/>
    <xf numFmtId="164" fontId="0" fillId="0" borderId="0" xfId="0" applyNumberFormat="1" applyFont="1" applyFill="1"/>
    <xf numFmtId="165" fontId="0" fillId="0" borderId="0" xfId="0" applyNumberFormat="1" applyFont="1"/>
    <xf numFmtId="167" fontId="0" fillId="7" borderId="0" xfId="0" applyNumberFormat="1" applyFont="1" applyFill="1"/>
    <xf numFmtId="164" fontId="0" fillId="0" borderId="0" xfId="0" applyNumberFormat="1" applyFont="1"/>
    <xf numFmtId="164" fontId="0" fillId="7" borderId="0" xfId="0" applyNumberFormat="1" applyFont="1" applyFill="1"/>
    <xf numFmtId="44" fontId="0" fillId="0" borderId="0" xfId="0" applyNumberFormat="1" applyFont="1" applyFill="1"/>
    <xf numFmtId="10" fontId="0" fillId="0" borderId="0" xfId="2" applyNumberFormat="1" applyFont="1" applyFill="1"/>
    <xf numFmtId="0" fontId="0" fillId="0" borderId="0" xfId="0" applyFont="1" applyFill="1" applyAlignment="1">
      <alignment horizontal="center"/>
    </xf>
    <xf numFmtId="0" fontId="12" fillId="5" borderId="1" xfId="0" applyFont="1" applyFill="1" applyBorder="1"/>
    <xf numFmtId="0" fontId="0" fillId="5" borderId="1" xfId="0" applyFont="1" applyFill="1" applyBorder="1"/>
    <xf numFmtId="0" fontId="0" fillId="5" borderId="3" xfId="0" applyFont="1" applyFill="1" applyBorder="1"/>
    <xf numFmtId="0" fontId="0" fillId="7" borderId="0" xfId="0" applyFont="1" applyFill="1" applyAlignment="1">
      <alignment horizontal="center"/>
    </xf>
    <xf numFmtId="165" fontId="0" fillId="0" borderId="0" xfId="0" applyNumberFormat="1" applyFont="1" applyFill="1" applyBorder="1"/>
    <xf numFmtId="0" fontId="0" fillId="0" borderId="6" xfId="0" applyFont="1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Font="1" applyBorder="1"/>
    <xf numFmtId="0" fontId="2" fillId="2" borderId="1" xfId="0" applyFont="1" applyFill="1" applyBorder="1" applyAlignment="1">
      <alignment horizontal="center" wrapText="1"/>
    </xf>
    <xf numFmtId="164" fontId="0" fillId="5" borderId="1" xfId="1" applyNumberFormat="1" applyFont="1" applyFill="1" applyBorder="1" applyAlignment="1">
      <alignment horizontal="center"/>
    </xf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0" fillId="0" borderId="2" xfId="1" applyNumberFormat="1" applyFont="1" applyFill="1" applyBorder="1" applyAlignment="1">
      <alignment horizontal="left" indent="1"/>
    </xf>
    <xf numFmtId="4" fontId="0" fillId="0" borderId="6" xfId="0" applyNumberFormat="1" applyFont="1" applyFill="1" applyBorder="1"/>
    <xf numFmtId="3" fontId="0" fillId="0" borderId="10" xfId="0" applyNumberFormat="1" applyFont="1" applyFill="1" applyBorder="1"/>
    <xf numFmtId="3" fontId="0" fillId="0" borderId="6" xfId="0" applyNumberFormat="1" applyFont="1" applyBorder="1"/>
    <xf numFmtId="165" fontId="0" fillId="0" borderId="10" xfId="0" applyNumberFormat="1" applyFont="1" applyBorder="1"/>
    <xf numFmtId="165" fontId="0" fillId="0" borderId="11" xfId="0" applyNumberFormat="1" applyFont="1" applyBorder="1"/>
    <xf numFmtId="0" fontId="0" fillId="0" borderId="6" xfId="0" applyFill="1" applyBorder="1"/>
    <xf numFmtId="0" fontId="0" fillId="0" borderId="10" xfId="0" applyFill="1" applyBorder="1"/>
    <xf numFmtId="0" fontId="0" fillId="0" borderId="11" xfId="0" applyFill="1" applyBorder="1"/>
    <xf numFmtId="164" fontId="0" fillId="11" borderId="0" xfId="0" applyNumberFormat="1" applyFont="1" applyFill="1"/>
    <xf numFmtId="6" fontId="0" fillId="11" borderId="0" xfId="0" applyNumberFormat="1" applyFill="1"/>
    <xf numFmtId="164" fontId="0" fillId="11" borderId="0" xfId="0" applyNumberFormat="1" applyFill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164" fontId="0" fillId="0" borderId="6" xfId="1" applyNumberFormat="1" applyFont="1" applyFill="1" applyBorder="1" applyAlignment="1">
      <alignment horizontal="left" indent="1"/>
    </xf>
    <xf numFmtId="164" fontId="0" fillId="0" borderId="0" xfId="1" applyNumberFormat="1" applyFont="1" applyFill="1" applyBorder="1" applyAlignment="1">
      <alignment horizontal="left" indent="1"/>
    </xf>
    <xf numFmtId="164" fontId="0" fillId="0" borderId="0" xfId="0" applyNumberFormat="1" applyBorder="1"/>
    <xf numFmtId="166" fontId="0" fillId="0" borderId="0" xfId="2" applyNumberFormat="1" applyFont="1" applyBorder="1" applyAlignment="1">
      <alignment horizontal="center"/>
    </xf>
    <xf numFmtId="166" fontId="0" fillId="0" borderId="0" xfId="0" applyNumberFormat="1" applyFill="1" applyBorder="1"/>
    <xf numFmtId="166" fontId="0" fillId="0" borderId="0" xfId="0" applyNumberFormat="1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64" fontId="0" fillId="0" borderId="0" xfId="0" applyNumberFormat="1" applyFont="1" applyFill="1" applyBorder="1"/>
    <xf numFmtId="164" fontId="0" fillId="0" borderId="0" xfId="1" applyNumberFormat="1" applyFont="1" applyFill="1"/>
    <xf numFmtId="164" fontId="0" fillId="0" borderId="2" xfId="0" applyNumberFormat="1" applyFont="1" applyFill="1" applyBorder="1"/>
    <xf numFmtId="0" fontId="0" fillId="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164" fontId="0" fillId="5" borderId="1" xfId="0" applyNumberFormat="1" applyFont="1" applyFill="1" applyBorder="1"/>
    <xf numFmtId="0" fontId="2" fillId="0" borderId="0" xfId="0" applyFont="1"/>
    <xf numFmtId="164" fontId="0" fillId="0" borderId="10" xfId="1" applyNumberFormat="1" applyFont="1" applyFill="1" applyBorder="1"/>
    <xf numFmtId="164" fontId="0" fillId="0" borderId="10" xfId="0" applyNumberFormat="1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164" fontId="0" fillId="0" borderId="11" xfId="1" applyNumberFormat="1" applyFont="1" applyFill="1" applyBorder="1"/>
    <xf numFmtId="164" fontId="2" fillId="5" borderId="1" xfId="0" applyNumberFormat="1" applyFont="1" applyFill="1" applyBorder="1"/>
    <xf numFmtId="164" fontId="2" fillId="0" borderId="0" xfId="1" applyNumberFormat="1" applyFont="1"/>
    <xf numFmtId="39" fontId="2" fillId="0" borderId="0" xfId="0" applyNumberFormat="1" applyFont="1" applyAlignment="1">
      <alignment horizontal="center"/>
    </xf>
    <xf numFmtId="44" fontId="0" fillId="0" borderId="0" xfId="0" applyNumberFormat="1" applyFont="1"/>
    <xf numFmtId="164" fontId="2" fillId="0" borderId="0" xfId="1" applyNumberFormat="1" applyFont="1" applyFill="1" applyBorder="1"/>
    <xf numFmtId="7" fontId="0" fillId="0" borderId="0" xfId="0" applyNumberFormat="1" applyFont="1"/>
    <xf numFmtId="0" fontId="0" fillId="2" borderId="0" xfId="0" applyFill="1" applyBorder="1"/>
    <xf numFmtId="0" fontId="0" fillId="2" borderId="0" xfId="0" applyFill="1" applyAlignment="1">
      <alignment horizontal="center"/>
    </xf>
    <xf numFmtId="0" fontId="0" fillId="2" borderId="0" xfId="0" applyFont="1" applyFill="1"/>
    <xf numFmtId="0" fontId="0" fillId="2" borderId="0" xfId="0" applyFill="1"/>
    <xf numFmtId="164" fontId="0" fillId="2" borderId="0" xfId="1" applyNumberFormat="1" applyFont="1" applyFill="1" applyBorder="1"/>
    <xf numFmtId="164" fontId="0" fillId="2" borderId="0" xfId="1" applyNumberFormat="1" applyFont="1" applyFill="1" applyBorder="1" applyAlignment="1">
      <alignment horizontal="center"/>
    </xf>
    <xf numFmtId="165" fontId="0" fillId="2" borderId="2" xfId="0" applyNumberFormat="1" applyFont="1" applyFill="1" applyBorder="1"/>
    <xf numFmtId="165" fontId="0" fillId="2" borderId="0" xfId="0" applyNumberFormat="1" applyFont="1" applyFill="1" applyBorder="1"/>
    <xf numFmtId="0" fontId="0" fillId="2" borderId="0" xfId="0" applyFont="1" applyFill="1" applyBorder="1"/>
    <xf numFmtId="165" fontId="0" fillId="2" borderId="2" xfId="0" applyNumberFormat="1" applyFill="1" applyBorder="1"/>
    <xf numFmtId="0" fontId="0" fillId="2" borderId="0" xfId="0" applyFont="1" applyFill="1" applyAlignment="1">
      <alignment horizontal="center"/>
    </xf>
    <xf numFmtId="0" fontId="0" fillId="2" borderId="2" xfId="0" applyFill="1" applyBorder="1"/>
    <xf numFmtId="0" fontId="0" fillId="2" borderId="2" xfId="0" applyFont="1" applyFill="1" applyBorder="1" applyAlignment="1">
      <alignment horizontal="center"/>
    </xf>
    <xf numFmtId="164" fontId="0" fillId="2" borderId="0" xfId="0" applyNumberFormat="1" applyFont="1" applyFill="1"/>
    <xf numFmtId="0" fontId="0" fillId="2" borderId="2" xfId="0" applyFill="1" applyBorder="1" applyAlignment="1">
      <alignment horizontal="center"/>
    </xf>
    <xf numFmtId="0" fontId="0" fillId="2" borderId="2" xfId="0" applyFont="1" applyFill="1" applyBorder="1"/>
    <xf numFmtId="164" fontId="0" fillId="2" borderId="10" xfId="1" applyNumberFormat="1" applyFont="1" applyFill="1" applyBorder="1"/>
    <xf numFmtId="168" fontId="0" fillId="0" borderId="0" xfId="0" applyNumberFormat="1" applyFont="1"/>
    <xf numFmtId="0" fontId="0" fillId="15" borderId="2" xfId="0" applyFill="1" applyBorder="1"/>
    <xf numFmtId="0" fontId="0" fillId="15" borderId="2" xfId="0" applyFill="1" applyBorder="1" applyAlignment="1">
      <alignment horizontal="center"/>
    </xf>
    <xf numFmtId="0" fontId="0" fillId="15" borderId="0" xfId="0" applyFill="1"/>
    <xf numFmtId="164" fontId="0" fillId="15" borderId="0" xfId="1" applyNumberFormat="1" applyFont="1" applyFill="1"/>
    <xf numFmtId="0" fontId="0" fillId="15" borderId="1" xfId="0" applyFill="1" applyBorder="1" applyAlignment="1">
      <alignment horizontal="center"/>
    </xf>
    <xf numFmtId="0" fontId="0" fillId="15" borderId="0" xfId="0" applyFill="1" applyAlignment="1">
      <alignment horizontal="center"/>
    </xf>
    <xf numFmtId="0" fontId="0" fillId="15" borderId="0" xfId="0" applyFill="1" applyBorder="1" applyAlignment="1">
      <alignment horizontal="center"/>
    </xf>
    <xf numFmtId="164" fontId="0" fillId="0" borderId="2" xfId="0" applyNumberFormat="1" applyFill="1" applyBorder="1"/>
    <xf numFmtId="164" fontId="0" fillId="16" borderId="0" xfId="0" applyNumberFormat="1" applyFill="1"/>
    <xf numFmtId="164" fontId="0" fillId="0" borderId="2" xfId="1" applyNumberFormat="1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164" fontId="0" fillId="0" borderId="0" xfId="1" applyNumberFormat="1" applyFont="1" applyFill="1" applyBorder="1" applyAlignment="1">
      <alignment horizontal="right"/>
    </xf>
    <xf numFmtId="6" fontId="0" fillId="0" borderId="0" xfId="0" applyNumberFormat="1" applyFill="1" applyBorder="1" applyAlignment="1">
      <alignment horizontal="right"/>
    </xf>
    <xf numFmtId="0" fontId="2" fillId="0" borderId="9" xfId="0" applyFont="1" applyFill="1" applyBorder="1"/>
    <xf numFmtId="0" fontId="2" fillId="0" borderId="0" xfId="0" applyFont="1" applyFill="1" applyBorder="1"/>
    <xf numFmtId="164" fontId="0" fillId="0" borderId="0" xfId="0" applyNumberFormat="1" applyFont="1" applyFill="1" applyBorder="1" applyAlignment="1">
      <alignment horizontal="center"/>
    </xf>
    <xf numFmtId="0" fontId="0" fillId="0" borderId="12" xfId="0" applyBorder="1"/>
    <xf numFmtId="0" fontId="0" fillId="7" borderId="9" xfId="0" applyFont="1" applyFill="1" applyBorder="1"/>
    <xf numFmtId="0" fontId="0" fillId="7" borderId="0" xfId="0" applyFill="1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14" borderId="2" xfId="0" applyFill="1" applyBorder="1" applyAlignment="1">
      <alignment horizontal="center"/>
    </xf>
    <xf numFmtId="0" fontId="0" fillId="14" borderId="0" xfId="0" applyFill="1" applyBorder="1" applyAlignment="1">
      <alignment horizontal="center"/>
    </xf>
    <xf numFmtId="0" fontId="0" fillId="14" borderId="4" xfId="0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14" fillId="13" borderId="2" xfId="5" applyBorder="1" applyAlignment="1">
      <alignment horizontal="center"/>
    </xf>
    <xf numFmtId="0" fontId="14" fillId="13" borderId="0" xfId="5" applyAlignment="1">
      <alignment horizontal="center"/>
    </xf>
    <xf numFmtId="0" fontId="13" fillId="12" borderId="0" xfId="4" applyAlignment="1">
      <alignment horizontal="center"/>
    </xf>
    <xf numFmtId="0" fontId="13" fillId="12" borderId="4" xfId="4" applyBorder="1" applyAlignment="1">
      <alignment horizontal="center"/>
    </xf>
  </cellXfs>
  <cellStyles count="6">
    <cellStyle name="Bad" xfId="5" builtinId="27"/>
    <cellStyle name="Comma" xfId="3" builtinId="3"/>
    <cellStyle name="Currency" xfId="1" builtinId="4"/>
    <cellStyle name="Good" xfId="4" builtinId="26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"/>
  <sheetViews>
    <sheetView tabSelected="1" zoomScale="75" zoomScaleNormal="75" workbookViewId="0">
      <selection activeCell="N16" sqref="N16"/>
    </sheetView>
  </sheetViews>
  <sheetFormatPr defaultRowHeight="15"/>
  <cols>
    <col min="1" max="1" width="46.140625" customWidth="1"/>
    <col min="2" max="4" width="14.42578125" customWidth="1"/>
    <col min="5" max="5" width="15.28515625" customWidth="1"/>
    <col min="6" max="7" width="11.85546875" customWidth="1"/>
    <col min="8" max="13" width="12.5703125" customWidth="1"/>
    <col min="14" max="14" width="13.140625" customWidth="1"/>
    <col min="15" max="15" width="12" customWidth="1"/>
    <col min="16" max="16" width="12.42578125" customWidth="1"/>
    <col min="17" max="17" width="11.85546875" customWidth="1"/>
    <col min="18" max="18" width="12.28515625" customWidth="1"/>
    <col min="19" max="19" width="12.140625" customWidth="1"/>
    <col min="20" max="22" width="12.42578125" customWidth="1"/>
    <col min="23" max="23" width="13.28515625" customWidth="1"/>
    <col min="24" max="24" width="14.85546875" customWidth="1"/>
    <col min="26" max="26" width="14.85546875" customWidth="1"/>
  </cols>
  <sheetData>
    <row r="1" spans="1:27">
      <c r="A1" t="s">
        <v>152</v>
      </c>
    </row>
    <row r="2" spans="1:27">
      <c r="H2" s="269" t="s">
        <v>138</v>
      </c>
      <c r="I2" s="270"/>
      <c r="J2" s="270"/>
      <c r="K2" s="271"/>
      <c r="L2" s="269" t="s">
        <v>164</v>
      </c>
      <c r="M2" s="270"/>
      <c r="N2" s="270"/>
      <c r="O2" s="271"/>
      <c r="P2" s="269" t="s">
        <v>165</v>
      </c>
      <c r="Q2" s="270"/>
      <c r="R2" s="270"/>
      <c r="S2" s="271"/>
      <c r="T2" s="269" t="s">
        <v>107</v>
      </c>
      <c r="U2" s="270"/>
      <c r="V2" s="270"/>
      <c r="W2" s="271"/>
      <c r="X2" s="265"/>
      <c r="Y2" s="266"/>
      <c r="Z2" s="266"/>
      <c r="AA2" s="266"/>
    </row>
    <row r="3" spans="1:27">
      <c r="F3" s="265" t="s">
        <v>154</v>
      </c>
      <c r="G3" s="267"/>
      <c r="H3" s="267"/>
      <c r="I3" s="268"/>
      <c r="J3" s="265" t="s">
        <v>10</v>
      </c>
      <c r="K3" s="266"/>
      <c r="L3" s="266"/>
      <c r="M3" s="266"/>
      <c r="N3" s="265" t="s">
        <v>11</v>
      </c>
      <c r="O3" s="266"/>
      <c r="P3" s="266"/>
      <c r="Q3" s="266"/>
      <c r="R3" s="265" t="s">
        <v>18</v>
      </c>
      <c r="S3" s="266"/>
      <c r="T3" s="266"/>
      <c r="U3" s="266"/>
      <c r="V3" s="265" t="s">
        <v>19</v>
      </c>
      <c r="W3" s="266"/>
      <c r="X3" s="266"/>
      <c r="Y3" s="266"/>
      <c r="Z3" s="114" t="s">
        <v>151</v>
      </c>
    </row>
    <row r="4" spans="1:27">
      <c r="F4" s="172" t="s">
        <v>14</v>
      </c>
      <c r="G4" s="173" t="s">
        <v>15</v>
      </c>
      <c r="H4" s="122" t="s">
        <v>16</v>
      </c>
      <c r="I4" s="11" t="s">
        <v>17</v>
      </c>
      <c r="J4" s="8" t="s">
        <v>14</v>
      </c>
      <c r="K4" s="11" t="s">
        <v>15</v>
      </c>
      <c r="L4" s="9" t="s">
        <v>16</v>
      </c>
      <c r="M4" s="9" t="s">
        <v>17</v>
      </c>
      <c r="N4" s="8" t="s">
        <v>14</v>
      </c>
      <c r="O4" s="11" t="s">
        <v>15</v>
      </c>
      <c r="P4" s="9" t="s">
        <v>16</v>
      </c>
      <c r="Q4" s="9" t="s">
        <v>17</v>
      </c>
      <c r="R4" s="8" t="s">
        <v>14</v>
      </c>
      <c r="S4" s="11" t="s">
        <v>15</v>
      </c>
      <c r="T4" s="9" t="s">
        <v>16</v>
      </c>
      <c r="U4" s="9" t="s">
        <v>17</v>
      </c>
      <c r="V4" s="8" t="s">
        <v>14</v>
      </c>
      <c r="W4" s="11" t="s">
        <v>15</v>
      </c>
      <c r="X4" s="9" t="s">
        <v>16</v>
      </c>
      <c r="Y4" s="9" t="s">
        <v>17</v>
      </c>
      <c r="Z4" s="114"/>
    </row>
    <row r="5" spans="1:27" ht="15.75" thickBot="1">
      <c r="A5" s="13" t="s">
        <v>5</v>
      </c>
      <c r="B5" s="13" t="s">
        <v>117</v>
      </c>
      <c r="C5" s="13" t="s">
        <v>51</v>
      </c>
      <c r="D5" s="13" t="s">
        <v>118</v>
      </c>
      <c r="E5" s="13" t="s">
        <v>121</v>
      </c>
      <c r="F5" s="58"/>
      <c r="G5" s="13"/>
      <c r="H5" s="13"/>
      <c r="I5" s="13"/>
      <c r="J5" s="7"/>
      <c r="K5" s="1"/>
      <c r="L5" s="1"/>
      <c r="M5" s="1"/>
      <c r="N5" s="7"/>
      <c r="O5" s="1"/>
      <c r="P5" s="1"/>
      <c r="Q5" s="1"/>
      <c r="R5" s="7"/>
      <c r="S5" s="1"/>
      <c r="T5" s="1"/>
      <c r="U5" s="1"/>
      <c r="V5" s="7"/>
      <c r="W5" s="1"/>
      <c r="X5" s="1"/>
      <c r="Y5" s="1"/>
      <c r="Z5" s="113"/>
    </row>
    <row r="6" spans="1:27" ht="15.75" thickTop="1">
      <c r="A6" s="117" t="s">
        <v>142</v>
      </c>
      <c r="F6" s="6"/>
      <c r="G6" s="3"/>
      <c r="H6" s="3"/>
      <c r="I6" s="3"/>
      <c r="J6" s="6"/>
      <c r="K6" s="3"/>
      <c r="N6" s="6"/>
      <c r="R6" s="6"/>
      <c r="V6" s="6"/>
      <c r="Z6" s="113"/>
    </row>
    <row r="7" spans="1:27">
      <c r="A7" t="s">
        <v>145</v>
      </c>
      <c r="B7" s="10">
        <f>'DC Ftotten'!E30</f>
        <v>4171050</v>
      </c>
      <c r="C7" s="10">
        <f>'DC Ftotten'!E32</f>
        <v>3336840</v>
      </c>
      <c r="D7" s="10">
        <f>'DC Ftotten'!E34</f>
        <v>834210</v>
      </c>
      <c r="E7" s="103">
        <f>D7/B7</f>
        <v>0.2</v>
      </c>
      <c r="F7" s="89"/>
      <c r="G7" s="198"/>
      <c r="H7" s="33">
        <f>'DC Ftotten'!I30</f>
        <v>258750</v>
      </c>
      <c r="I7" s="88">
        <f>'DC Ftotten'!J30</f>
        <v>258750</v>
      </c>
      <c r="J7" s="89">
        <f>'DC Ftotten'!K30</f>
        <v>0</v>
      </c>
      <c r="K7" s="88">
        <f>'DC Ftotten'!L30</f>
        <v>1216336.4850000001</v>
      </c>
      <c r="L7" s="88">
        <f>'DC Ftotten'!M30</f>
        <v>1216336.4850000001</v>
      </c>
      <c r="M7" s="88">
        <f>'DC Ftotten'!N30</f>
        <v>1220877.0300000003</v>
      </c>
      <c r="N7" s="89"/>
      <c r="O7" s="88"/>
      <c r="P7" s="88"/>
      <c r="R7" s="6"/>
      <c r="S7" s="3"/>
      <c r="T7" s="3"/>
      <c r="U7" s="49"/>
      <c r="V7" s="6"/>
      <c r="W7" s="3"/>
      <c r="X7" s="3"/>
      <c r="Y7" s="49"/>
      <c r="Z7" s="100">
        <f>SUM(H7:Y7)</f>
        <v>4171050.0000000005</v>
      </c>
    </row>
    <row r="8" spans="1:27">
      <c r="F8" s="89"/>
      <c r="G8" s="3"/>
      <c r="H8" s="33"/>
      <c r="I8" s="88"/>
      <c r="J8" s="89"/>
      <c r="K8" s="88"/>
      <c r="L8" s="88"/>
      <c r="M8" s="88"/>
      <c r="N8" s="89"/>
      <c r="O8" s="88"/>
      <c r="P8" s="88"/>
      <c r="R8" s="6"/>
      <c r="S8" s="3"/>
      <c r="T8" s="3"/>
      <c r="U8" s="49"/>
      <c r="V8" s="6"/>
      <c r="W8" s="3"/>
      <c r="X8" s="3"/>
      <c r="Y8" s="49"/>
      <c r="Z8" s="100"/>
    </row>
    <row r="9" spans="1:27">
      <c r="A9" s="118" t="s">
        <v>143</v>
      </c>
      <c r="B9" s="10"/>
      <c r="C9" s="10"/>
      <c r="D9" s="10"/>
      <c r="E9" s="103"/>
      <c r="F9" s="89"/>
      <c r="G9" s="198"/>
      <c r="H9" s="33"/>
      <c r="I9" s="88"/>
      <c r="J9" s="89"/>
      <c r="K9" s="88"/>
      <c r="L9" s="88"/>
      <c r="M9" s="88"/>
      <c r="N9" s="89"/>
      <c r="O9" s="88"/>
      <c r="P9" s="88"/>
      <c r="R9" s="6"/>
      <c r="S9" s="3"/>
      <c r="T9" s="3"/>
      <c r="U9" s="49"/>
      <c r="V9" s="6"/>
      <c r="W9" s="3"/>
      <c r="X9" s="3"/>
      <c r="Y9" s="49"/>
      <c r="Z9" s="100"/>
    </row>
    <row r="10" spans="1:27">
      <c r="A10" t="s">
        <v>146</v>
      </c>
      <c r="B10" s="10">
        <f>'MC F Glen'!E35</f>
        <v>15555000</v>
      </c>
      <c r="C10" s="10">
        <f>'MC F Glen'!E37</f>
        <v>10444000</v>
      </c>
      <c r="D10" s="10">
        <f>'MC F Glen'!E39</f>
        <v>5111000</v>
      </c>
      <c r="E10" s="103">
        <f>D10/B10</f>
        <v>0.32857602057216329</v>
      </c>
      <c r="F10" s="253"/>
      <c r="G10" s="254"/>
      <c r="H10" s="255">
        <f>'MC F Glen'!I35</f>
        <v>105000</v>
      </c>
      <c r="I10" s="256">
        <f>'MC F Glen'!J35</f>
        <v>105000</v>
      </c>
      <c r="J10" s="253">
        <f>'MC F Glen'!K35</f>
        <v>412833.33333333337</v>
      </c>
      <c r="K10" s="256">
        <f>'MC F Glen'!L35</f>
        <v>412833.33333333337</v>
      </c>
      <c r="L10" s="256">
        <f>'MC F Glen'!M35</f>
        <v>412833.33333333337</v>
      </c>
      <c r="M10" s="256">
        <f>'MC F Glen'!N35</f>
        <v>912833.33333333337</v>
      </c>
      <c r="N10" s="253">
        <f>'MC F Glen'!O35</f>
        <v>496924.24242424243</v>
      </c>
      <c r="O10" s="256">
        <f>'MC F Glen'!P35</f>
        <v>496924.24242424243</v>
      </c>
      <c r="P10" s="256">
        <f>'MC F Glen'!Q35</f>
        <v>744424.24242424243</v>
      </c>
      <c r="Q10" s="256">
        <f>'MC F Glen'!R35</f>
        <v>879424.24242424243</v>
      </c>
      <c r="R10" s="253">
        <f>'MC F Glen'!S35</f>
        <v>946924.24242424243</v>
      </c>
      <c r="S10" s="256">
        <f>'MC F Glen'!T35</f>
        <v>946924.24242424243</v>
      </c>
      <c r="T10" s="256">
        <f>'MC F Glen'!U35</f>
        <v>904840.90909090906</v>
      </c>
      <c r="U10" s="256">
        <f>'MC F Glen'!V35</f>
        <v>1765674.2424242424</v>
      </c>
      <c r="V10" s="253">
        <f>'MC F Glen'!W35</f>
        <v>1926924.2424242424</v>
      </c>
      <c r="W10" s="256">
        <f>'MC F Glen'!X35</f>
        <v>2291299.2424242422</v>
      </c>
      <c r="X10" s="256">
        <f>'MC F Glen'!Y35</f>
        <v>1793382.5757575757</v>
      </c>
      <c r="Y10" s="49"/>
      <c r="Z10" s="100">
        <f>SUM(H10:Y10)</f>
        <v>15555000</v>
      </c>
    </row>
    <row r="11" spans="1:27">
      <c r="A11" s="55"/>
      <c r="B11" s="10"/>
      <c r="C11" s="10"/>
      <c r="D11" s="10"/>
      <c r="E11" s="103"/>
      <c r="F11" s="89"/>
      <c r="G11" s="198"/>
      <c r="H11" s="33"/>
      <c r="I11" s="88"/>
      <c r="J11" s="89"/>
      <c r="K11" s="88"/>
      <c r="L11" s="88"/>
      <c r="M11" s="88"/>
      <c r="N11" s="89"/>
      <c r="O11" s="88"/>
      <c r="P11" s="88"/>
      <c r="R11" s="6"/>
      <c r="S11" s="3"/>
      <c r="T11" s="3"/>
      <c r="U11" s="49"/>
      <c r="V11" s="6"/>
      <c r="W11" s="3"/>
      <c r="X11" s="3"/>
      <c r="Y11" s="49"/>
      <c r="Z11" s="100"/>
    </row>
    <row r="12" spans="1:27">
      <c r="A12" t="s">
        <v>147</v>
      </c>
      <c r="B12" s="10">
        <f>'PG NewC'!E31</f>
        <v>575423.77500000002</v>
      </c>
      <c r="C12" s="10">
        <f>'PG NewC'!E33</f>
        <v>402796.64250000002</v>
      </c>
      <c r="D12" s="10">
        <f>'PG NewC'!E35</f>
        <v>172627.13250000001</v>
      </c>
      <c r="E12" s="103">
        <f>D12/B12</f>
        <v>0.3</v>
      </c>
      <c r="F12" s="89"/>
      <c r="G12" s="198"/>
      <c r="H12" s="33"/>
      <c r="I12" s="88"/>
      <c r="J12" s="89">
        <f>'PG NewC'!I31</f>
        <v>51750</v>
      </c>
      <c r="K12" s="88">
        <f>'PG NewC'!J31</f>
        <v>72450</v>
      </c>
      <c r="L12" s="88">
        <f>'PG NewC'!K31</f>
        <v>259249.38750000001</v>
      </c>
      <c r="M12" s="88">
        <f>'PG NewC'!L31</f>
        <v>150574.38750000001</v>
      </c>
      <c r="N12" s="89">
        <f>'PG NewC'!M31</f>
        <v>41400</v>
      </c>
      <c r="O12" s="88"/>
      <c r="P12" s="88"/>
      <c r="Q12" s="88"/>
      <c r="R12" s="6"/>
      <c r="S12" s="3"/>
      <c r="T12" s="3"/>
      <c r="U12" s="49"/>
      <c r="V12" s="6"/>
      <c r="W12" s="3"/>
      <c r="X12" s="3"/>
      <c r="Y12" s="49"/>
      <c r="Z12" s="100">
        <f>SUM(H12:Y12)</f>
        <v>575423.77500000002</v>
      </c>
    </row>
    <row r="13" spans="1:27" s="15" customFormat="1">
      <c r="A13" s="115"/>
      <c r="B13" s="10"/>
      <c r="C13" s="10"/>
      <c r="D13" s="10"/>
      <c r="E13" s="104"/>
      <c r="F13" s="59"/>
      <c r="G13" s="199"/>
      <c r="H13" s="38"/>
      <c r="I13" s="38"/>
      <c r="J13" s="89"/>
      <c r="K13" s="14"/>
      <c r="N13" s="17"/>
      <c r="R13" s="17"/>
      <c r="S13" s="14"/>
      <c r="T13" s="14"/>
      <c r="U13" s="97"/>
      <c r="V13" s="17"/>
      <c r="W13" s="14"/>
      <c r="X13" s="14"/>
      <c r="Y13" s="97"/>
      <c r="Z13" s="100"/>
    </row>
    <row r="14" spans="1:27">
      <c r="A14" t="s">
        <v>153</v>
      </c>
      <c r="B14" s="10">
        <f>'Arl RCC'!E39</f>
        <v>4020000</v>
      </c>
      <c r="C14" s="10">
        <f>'Arl RCC'!E38</f>
        <v>750000</v>
      </c>
      <c r="D14" s="10">
        <f>'Arl RCC'!E37</f>
        <v>3270000</v>
      </c>
      <c r="E14" s="103">
        <f>D14/B14</f>
        <v>0.81343283582089554</v>
      </c>
      <c r="F14" s="89"/>
      <c r="G14" s="198"/>
      <c r="H14" s="33">
        <f>'Arl RCC'!J35</f>
        <v>68600</v>
      </c>
      <c r="I14" s="88"/>
      <c r="J14" s="89">
        <f>'Arl RCC'!L35</f>
        <v>65000</v>
      </c>
      <c r="K14" s="88">
        <f>'Arl RCC'!M35</f>
        <v>1376000</v>
      </c>
      <c r="L14" s="88">
        <f>'Arl RCC'!N35</f>
        <v>1000000</v>
      </c>
      <c r="M14" s="88">
        <f>'Arl RCC'!O35</f>
        <v>1510400</v>
      </c>
      <c r="N14" s="89"/>
      <c r="O14" s="88"/>
      <c r="R14" s="6"/>
      <c r="S14" s="3"/>
      <c r="T14" s="3"/>
      <c r="U14" s="49"/>
      <c r="V14" s="6"/>
      <c r="W14" s="3"/>
      <c r="X14" s="3"/>
      <c r="Y14" s="49"/>
      <c r="Z14" s="100">
        <f>SUM(H14:Y14)</f>
        <v>4020000</v>
      </c>
    </row>
    <row r="15" spans="1:27">
      <c r="A15" s="55"/>
      <c r="B15" s="10"/>
      <c r="C15" s="10"/>
      <c r="D15" s="10"/>
      <c r="E15" s="105"/>
      <c r="F15" s="89"/>
      <c r="G15" s="198"/>
      <c r="H15" s="33"/>
      <c r="I15" s="88"/>
      <c r="J15" s="89"/>
      <c r="K15" s="88"/>
      <c r="L15" s="88"/>
      <c r="M15" s="88"/>
      <c r="N15" s="17"/>
      <c r="R15" s="6"/>
      <c r="S15" s="3"/>
      <c r="T15" s="3"/>
      <c r="U15" s="49"/>
      <c r="V15" s="6"/>
      <c r="W15" s="3"/>
      <c r="X15" s="3"/>
      <c r="Y15" s="49"/>
      <c r="Z15" s="101"/>
    </row>
    <row r="16" spans="1:27">
      <c r="A16" t="s">
        <v>148</v>
      </c>
      <c r="B16" s="10">
        <f>'PG WH'!E28</f>
        <v>710250</v>
      </c>
      <c r="C16" s="10">
        <f>'PG WH'!E30</f>
        <v>542750</v>
      </c>
      <c r="D16" s="10">
        <f>'PG WH'!E32</f>
        <v>167500</v>
      </c>
      <c r="E16" s="103">
        <f>D16/B16</f>
        <v>0.23583245336149244</v>
      </c>
      <c r="F16" s="59"/>
      <c r="G16" s="198"/>
      <c r="H16" s="38"/>
      <c r="J16" s="89"/>
      <c r="K16" s="88">
        <f>'PG WH'!H26</f>
        <v>37500</v>
      </c>
      <c r="L16" s="88">
        <f>'PG WH'!I26</f>
        <v>257583.33333333334</v>
      </c>
      <c r="M16" s="88">
        <f>'PG WH'!J26</f>
        <v>267583.33333333331</v>
      </c>
      <c r="N16" s="89">
        <f>'PG WH'!K26</f>
        <v>147583.33333333334</v>
      </c>
      <c r="R16" s="6"/>
      <c r="S16" s="3"/>
      <c r="T16" s="3"/>
      <c r="U16" s="49"/>
      <c r="V16" s="6"/>
      <c r="W16" s="3"/>
      <c r="X16" s="3"/>
      <c r="Y16" s="49"/>
      <c r="Z16" s="100">
        <f>SUM(H16:Y16)</f>
        <v>710250.00000000012</v>
      </c>
    </row>
    <row r="17" spans="1:26">
      <c r="B17" s="10"/>
      <c r="C17" s="10"/>
      <c r="D17" s="10"/>
      <c r="E17" s="103"/>
      <c r="F17" s="59"/>
      <c r="G17" s="198"/>
      <c r="H17" s="38"/>
      <c r="J17" s="89"/>
      <c r="K17" s="88"/>
      <c r="L17" s="88"/>
      <c r="M17" s="88"/>
      <c r="N17" s="89"/>
      <c r="R17" s="6"/>
      <c r="S17" s="3"/>
      <c r="T17" s="3"/>
      <c r="U17" s="49"/>
      <c r="V17" s="6"/>
      <c r="W17" s="3"/>
      <c r="X17" s="3"/>
      <c r="Y17" s="49"/>
      <c r="Z17" s="100"/>
    </row>
    <row r="18" spans="1:26">
      <c r="A18" s="119" t="s">
        <v>144</v>
      </c>
      <c r="B18" s="10"/>
      <c r="C18" s="10"/>
      <c r="D18" s="10"/>
      <c r="E18" s="103"/>
      <c r="F18" s="59"/>
      <c r="G18" s="198"/>
      <c r="H18" s="38"/>
      <c r="J18" s="89"/>
      <c r="K18" s="88"/>
      <c r="L18" s="88"/>
      <c r="M18" s="88"/>
      <c r="N18" s="89"/>
      <c r="R18" s="6"/>
      <c r="S18" s="3"/>
      <c r="T18" s="3"/>
      <c r="U18" s="49"/>
      <c r="V18" s="6"/>
      <c r="W18" s="3"/>
      <c r="X18" s="3"/>
      <c r="Y18" s="49"/>
      <c r="Z18" s="100"/>
    </row>
    <row r="19" spans="1:26">
      <c r="A19" t="s">
        <v>149</v>
      </c>
      <c r="B19" s="10">
        <f>'Arl A-N'!E37</f>
        <v>6838879</v>
      </c>
      <c r="C19" s="10">
        <f>'Arl A-N'!E39</f>
        <v>4215983</v>
      </c>
      <c r="D19" s="10">
        <f>'Arl A-N'!E41</f>
        <v>2622896</v>
      </c>
      <c r="E19" s="103">
        <f>D19/B19</f>
        <v>0.38352718332931462</v>
      </c>
      <c r="F19" s="89">
        <f>'Arl A-N'!G37</f>
        <v>483928.74</v>
      </c>
      <c r="G19" s="33">
        <f>'Arl A-N'!H37</f>
        <v>31050</v>
      </c>
      <c r="H19" s="33">
        <f>'Arl A-N'!I37</f>
        <v>1580975.17875</v>
      </c>
      <c r="I19" s="33">
        <f>'Arl A-N'!J37</f>
        <v>1580975.17875</v>
      </c>
      <c r="J19" s="89">
        <f>'Arl A-N'!K37</f>
        <v>1580975.17875</v>
      </c>
      <c r="K19" s="33">
        <f>'Arl A-N'!L37</f>
        <v>1580975.17875</v>
      </c>
      <c r="L19" s="88"/>
      <c r="M19" s="88"/>
      <c r="N19" s="89"/>
      <c r="O19" s="88"/>
      <c r="P19" s="88"/>
      <c r="Q19" s="88"/>
      <c r="R19" s="6"/>
      <c r="S19" s="3"/>
      <c r="T19" s="3"/>
      <c r="U19" s="49"/>
      <c r="V19" s="6"/>
      <c r="W19" s="3"/>
      <c r="X19" s="3"/>
      <c r="Y19" s="49"/>
      <c r="Z19" s="100">
        <f>SUM(F19:Y19)</f>
        <v>6838879.4550000001</v>
      </c>
    </row>
    <row r="20" spans="1:26">
      <c r="A20" s="55"/>
      <c r="B20" s="10"/>
      <c r="C20" s="10"/>
      <c r="D20" s="10"/>
      <c r="E20" s="105"/>
      <c r="F20" s="59"/>
      <c r="G20" s="200"/>
      <c r="H20" s="38"/>
      <c r="J20" s="89"/>
      <c r="K20" s="88"/>
      <c r="L20" s="88"/>
      <c r="M20" s="88"/>
      <c r="N20" s="89"/>
      <c r="R20" s="6"/>
      <c r="S20" s="3"/>
      <c r="T20" s="3"/>
      <c r="U20" s="49"/>
      <c r="V20" s="6"/>
      <c r="W20" s="3"/>
      <c r="X20" s="3"/>
      <c r="Y20" s="49"/>
      <c r="Z20" s="101"/>
    </row>
    <row r="21" spans="1:26">
      <c r="A21" t="s">
        <v>150</v>
      </c>
      <c r="B21" s="10">
        <f>VRE!E60</f>
        <v>283600.34999999998</v>
      </c>
      <c r="C21" s="10">
        <f>VRE!E62</f>
        <v>226880.28</v>
      </c>
      <c r="D21" s="10">
        <f>VRE!E64</f>
        <v>56720.069999999978</v>
      </c>
      <c r="E21" s="103">
        <f>D21/B21</f>
        <v>0.19999999999999993</v>
      </c>
      <c r="F21" s="59"/>
      <c r="G21" s="198"/>
      <c r="H21" s="38"/>
      <c r="J21" s="89"/>
      <c r="K21" s="88"/>
      <c r="L21" s="88">
        <f>VRE!I60</f>
        <v>65555</v>
      </c>
      <c r="M21" s="88">
        <f>VRE!J60</f>
        <v>108655</v>
      </c>
      <c r="N21" s="89">
        <f>VRE!K60</f>
        <v>56905</v>
      </c>
      <c r="O21" s="88">
        <f>VRE!L60</f>
        <v>44505</v>
      </c>
      <c r="P21" s="88">
        <f>VRE!M60</f>
        <v>7980</v>
      </c>
      <c r="R21" s="6"/>
      <c r="S21" s="3"/>
      <c r="T21" s="3"/>
      <c r="U21" s="49"/>
      <c r="V21" s="6"/>
      <c r="W21" s="3"/>
      <c r="X21" s="3"/>
      <c r="Y21" s="49"/>
      <c r="Z21" s="100">
        <f>SUM(H21:Y21)</f>
        <v>283600</v>
      </c>
    </row>
    <row r="22" spans="1:26">
      <c r="B22" s="10"/>
      <c r="C22" s="10"/>
      <c r="D22" s="10"/>
      <c r="E22" s="105"/>
      <c r="F22" s="59"/>
      <c r="G22" s="200"/>
      <c r="H22" s="38"/>
      <c r="J22" s="89"/>
      <c r="K22" s="88"/>
      <c r="L22" s="88"/>
      <c r="M22" s="88"/>
      <c r="N22" s="89"/>
      <c r="R22" s="6"/>
      <c r="S22" s="3"/>
      <c r="T22" s="3"/>
      <c r="U22" s="49"/>
      <c r="V22" s="6"/>
      <c r="W22" s="3"/>
      <c r="X22" s="3"/>
      <c r="Y22" s="49"/>
      <c r="Z22" s="101"/>
    </row>
    <row r="23" spans="1:26">
      <c r="A23" s="79" t="s">
        <v>20</v>
      </c>
      <c r="B23" s="102">
        <f>SUM(B7:B22)</f>
        <v>32154203.125</v>
      </c>
      <c r="C23" s="102">
        <f>SUM(C7:C22)</f>
        <v>19919249.922499999</v>
      </c>
      <c r="D23" s="102">
        <f>SUM(D7:D22)</f>
        <v>12234953.202500001</v>
      </c>
      <c r="E23" s="109">
        <f>D23/B23</f>
        <v>0.38050867424505641</v>
      </c>
      <c r="F23" s="106">
        <f t="shared" ref="F23:G23" si="0">SUM(F7:F22)</f>
        <v>483928.74</v>
      </c>
      <c r="G23" s="107">
        <f t="shared" si="0"/>
        <v>31050</v>
      </c>
      <c r="H23" s="100">
        <f t="shared" ref="H23:X23" si="1">SUM(H7:H22)</f>
        <v>2013325.17875</v>
      </c>
      <c r="I23" s="107">
        <f t="shared" si="1"/>
        <v>1944725.17875</v>
      </c>
      <c r="J23" s="106">
        <f t="shared" si="1"/>
        <v>2110558.5120833335</v>
      </c>
      <c r="K23" s="107">
        <f t="shared" si="1"/>
        <v>4696094.9970833333</v>
      </c>
      <c r="L23" s="107">
        <f t="shared" si="1"/>
        <v>3211557.539166667</v>
      </c>
      <c r="M23" s="107">
        <f t="shared" si="1"/>
        <v>4170923.0841666674</v>
      </c>
      <c r="N23" s="106">
        <f t="shared" si="1"/>
        <v>742812.5757575758</v>
      </c>
      <c r="O23" s="107">
        <f t="shared" si="1"/>
        <v>541429.24242424243</v>
      </c>
      <c r="P23" s="107">
        <f t="shared" si="1"/>
        <v>752404.24242424243</v>
      </c>
      <c r="Q23" s="107">
        <f t="shared" si="1"/>
        <v>879424.24242424243</v>
      </c>
      <c r="R23" s="106">
        <f t="shared" si="1"/>
        <v>946924.24242424243</v>
      </c>
      <c r="S23" s="107">
        <f t="shared" si="1"/>
        <v>946924.24242424243</v>
      </c>
      <c r="T23" s="107">
        <f t="shared" si="1"/>
        <v>904840.90909090906</v>
      </c>
      <c r="U23" s="108">
        <f t="shared" si="1"/>
        <v>1765674.2424242424</v>
      </c>
      <c r="V23" s="106">
        <f t="shared" si="1"/>
        <v>1926924.2424242424</v>
      </c>
      <c r="W23" s="107">
        <f t="shared" si="1"/>
        <v>2291299.2424242422</v>
      </c>
      <c r="X23" s="107">
        <f t="shared" si="1"/>
        <v>1793382.5757575757</v>
      </c>
      <c r="Y23" s="83"/>
      <c r="Z23" s="100">
        <f>SUM(H23:Y23)</f>
        <v>31639224.489999998</v>
      </c>
    </row>
    <row r="24" spans="1:26">
      <c r="E24" s="3"/>
      <c r="F24" s="33"/>
      <c r="G24" s="88"/>
      <c r="H24" s="38"/>
      <c r="I24" s="3"/>
      <c r="J24" s="33"/>
      <c r="K24" s="88"/>
      <c r="L24" s="88"/>
      <c r="M24" s="88"/>
      <c r="N24" s="3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262"/>
    </row>
    <row r="25" spans="1:26">
      <c r="F25" s="33"/>
      <c r="G25" s="88"/>
      <c r="H25" s="38"/>
      <c r="J25" s="33"/>
      <c r="K25" s="88"/>
      <c r="L25" s="88"/>
      <c r="M25" s="88"/>
      <c r="N25" s="33"/>
      <c r="R25" s="3"/>
      <c r="S25" s="3"/>
      <c r="T25" s="3"/>
      <c r="U25" s="3"/>
      <c r="V25" s="3"/>
      <c r="W25" s="3"/>
      <c r="X25" s="3"/>
      <c r="Y25" s="3"/>
      <c r="Z25" s="79"/>
    </row>
    <row r="26" spans="1:26">
      <c r="A26" t="s">
        <v>139</v>
      </c>
      <c r="F26" s="110">
        <f>F23/(76923)</f>
        <v>6.2910799110799109</v>
      </c>
      <c r="G26" s="110">
        <f t="shared" ref="G26:X26" si="2">G23/(76923)</f>
        <v>0.40365040365040367</v>
      </c>
      <c r="H26" s="110">
        <f t="shared" si="2"/>
        <v>26.173253497003497</v>
      </c>
      <c r="I26" s="110">
        <f t="shared" si="2"/>
        <v>25.281452605202606</v>
      </c>
      <c r="J26" s="110">
        <f t="shared" si="2"/>
        <v>27.437288094371429</v>
      </c>
      <c r="K26" s="110">
        <f t="shared" si="2"/>
        <v>61.049296011379347</v>
      </c>
      <c r="L26" s="110">
        <f t="shared" si="2"/>
        <v>41.750289759456429</v>
      </c>
      <c r="M26" s="110">
        <f t="shared" si="2"/>
        <v>54.222054316220991</v>
      </c>
      <c r="N26" s="110">
        <f t="shared" si="2"/>
        <v>9.6565731414216263</v>
      </c>
      <c r="O26" s="110">
        <f t="shared" si="2"/>
        <v>7.0385871901023416</v>
      </c>
      <c r="P26" s="110">
        <f t="shared" si="2"/>
        <v>9.7812649327800845</v>
      </c>
      <c r="Q26" s="110">
        <f t="shared" si="2"/>
        <v>11.432526584041735</v>
      </c>
      <c r="R26" s="110">
        <f t="shared" si="2"/>
        <v>12.310027461542614</v>
      </c>
      <c r="S26" s="110">
        <f t="shared" si="2"/>
        <v>12.310027461542614</v>
      </c>
      <c r="T26" s="110">
        <f t="shared" si="2"/>
        <v>11.762943581125398</v>
      </c>
      <c r="U26" s="110">
        <f t="shared" si="2"/>
        <v>22.953788105303257</v>
      </c>
      <c r="V26" s="110">
        <f t="shared" si="2"/>
        <v>25.050040201555355</v>
      </c>
      <c r="W26" s="110">
        <f t="shared" si="2"/>
        <v>29.786919938435087</v>
      </c>
      <c r="X26" s="110">
        <f t="shared" si="2"/>
        <v>23.313996798845285</v>
      </c>
      <c r="Z26" s="116">
        <f>SUM(H26:Y26)</f>
        <v>411.31032968032969</v>
      </c>
    </row>
    <row r="27" spans="1:26">
      <c r="B27" s="10"/>
      <c r="C27" s="10"/>
      <c r="D27" s="10"/>
      <c r="Z27" s="79"/>
    </row>
    <row r="28" spans="1:26">
      <c r="A28" t="s">
        <v>140</v>
      </c>
      <c r="B28" s="87"/>
      <c r="C28" s="87"/>
      <c r="D28" s="87"/>
      <c r="F28" s="111">
        <f t="shared" ref="F28:G28" si="3">F26*0.64</f>
        <v>4.026291143091143</v>
      </c>
      <c r="G28" s="111">
        <f t="shared" si="3"/>
        <v>0.25833625833625834</v>
      </c>
      <c r="H28" s="111">
        <f>H26*0.64</f>
        <v>16.750882238082237</v>
      </c>
      <c r="I28" s="111">
        <f t="shared" ref="I28:X28" si="4">I26*0.64</f>
        <v>16.18012966732967</v>
      </c>
      <c r="J28" s="111">
        <f t="shared" si="4"/>
        <v>17.559864380397716</v>
      </c>
      <c r="K28" s="111">
        <f t="shared" si="4"/>
        <v>39.071549447282784</v>
      </c>
      <c r="L28" s="111">
        <f t="shared" si="4"/>
        <v>26.720185446052113</v>
      </c>
      <c r="M28" s="111">
        <f t="shared" si="4"/>
        <v>34.702114762381434</v>
      </c>
      <c r="N28" s="111">
        <f t="shared" si="4"/>
        <v>6.1802068105098407</v>
      </c>
      <c r="O28" s="111">
        <f t="shared" si="4"/>
        <v>4.5046958016654983</v>
      </c>
      <c r="P28" s="111">
        <f t="shared" si="4"/>
        <v>6.260009556979254</v>
      </c>
      <c r="Q28" s="111">
        <f t="shared" si="4"/>
        <v>7.3168170137867108</v>
      </c>
      <c r="R28" s="111">
        <f t="shared" si="4"/>
        <v>7.8784175753872727</v>
      </c>
      <c r="S28" s="111">
        <f t="shared" si="4"/>
        <v>7.8784175753872727</v>
      </c>
      <c r="T28" s="111">
        <f t="shared" si="4"/>
        <v>7.528283891920255</v>
      </c>
      <c r="U28" s="111">
        <f t="shared" si="4"/>
        <v>14.690424387394085</v>
      </c>
      <c r="V28" s="111">
        <f t="shared" si="4"/>
        <v>16.032025728995428</v>
      </c>
      <c r="W28" s="111">
        <f t="shared" si="4"/>
        <v>19.063628760598455</v>
      </c>
      <c r="X28" s="111">
        <f t="shared" si="4"/>
        <v>14.920957951260982</v>
      </c>
      <c r="Z28" s="116">
        <f>SUM(H28:Y28)</f>
        <v>263.23861099541091</v>
      </c>
    </row>
    <row r="29" spans="1:26">
      <c r="A29" t="s">
        <v>141</v>
      </c>
      <c r="B29" s="87"/>
      <c r="C29" s="87"/>
      <c r="D29" s="87"/>
      <c r="F29" s="111">
        <f t="shared" ref="F29:G29" si="5">F26*0.36</f>
        <v>2.2647887679887679</v>
      </c>
      <c r="G29" s="111">
        <f t="shared" si="5"/>
        <v>0.14531414531414533</v>
      </c>
      <c r="H29" s="111">
        <f>H26*0.36</f>
        <v>9.4223712589212578</v>
      </c>
      <c r="I29" s="111">
        <f t="shared" ref="I29:X29" si="6">I26*0.36</f>
        <v>9.1013229378729381</v>
      </c>
      <c r="J29" s="111">
        <f t="shared" si="6"/>
        <v>9.8774237139737142</v>
      </c>
      <c r="K29" s="111">
        <f t="shared" si="6"/>
        <v>21.977746564096563</v>
      </c>
      <c r="L29" s="111">
        <f t="shared" si="6"/>
        <v>15.030104313404314</v>
      </c>
      <c r="M29" s="111">
        <f t="shared" si="6"/>
        <v>19.519939553839556</v>
      </c>
      <c r="N29" s="111">
        <f t="shared" si="6"/>
        <v>3.4763663309117852</v>
      </c>
      <c r="O29" s="111">
        <f t="shared" si="6"/>
        <v>2.5338913884368428</v>
      </c>
      <c r="P29" s="111">
        <f t="shared" si="6"/>
        <v>3.5212553758008305</v>
      </c>
      <c r="Q29" s="111">
        <f t="shared" si="6"/>
        <v>4.1157095702550244</v>
      </c>
      <c r="R29" s="111">
        <f t="shared" si="6"/>
        <v>4.431609886155341</v>
      </c>
      <c r="S29" s="111">
        <f t="shared" si="6"/>
        <v>4.431609886155341</v>
      </c>
      <c r="T29" s="111">
        <f t="shared" si="6"/>
        <v>4.2346596892051434</v>
      </c>
      <c r="U29" s="111">
        <f t="shared" si="6"/>
        <v>8.2633637179091721</v>
      </c>
      <c r="V29" s="111">
        <f t="shared" si="6"/>
        <v>9.0180144725599281</v>
      </c>
      <c r="W29" s="111">
        <f t="shared" si="6"/>
        <v>10.72329117783663</v>
      </c>
      <c r="X29" s="111">
        <f t="shared" si="6"/>
        <v>8.3930388475843021</v>
      </c>
      <c r="Z29" s="116">
        <f>SUM(H29:Y29)</f>
        <v>148.07171868491872</v>
      </c>
    </row>
  </sheetData>
  <mergeCells count="10">
    <mergeCell ref="H2:K2"/>
    <mergeCell ref="L2:O2"/>
    <mergeCell ref="P2:S2"/>
    <mergeCell ref="T2:W2"/>
    <mergeCell ref="X2:AA2"/>
    <mergeCell ref="J3:M3"/>
    <mergeCell ref="N3:Q3"/>
    <mergeCell ref="R3:U3"/>
    <mergeCell ref="V3:Y3"/>
    <mergeCell ref="F3:I3"/>
  </mergeCells>
  <pageMargins left="0.18" right="0.19" top="0.75" bottom="0.75" header="0.3" footer="0.3"/>
  <pageSetup paperSize="5" scale="51" orientation="landscape" r:id="rId1"/>
  <ignoredErrors>
    <ignoredError sqref="E2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AC37"/>
  <sheetViews>
    <sheetView zoomScale="75" zoomScaleNormal="75" workbookViewId="0">
      <selection activeCell="C37" sqref="C37"/>
    </sheetView>
  </sheetViews>
  <sheetFormatPr defaultRowHeight="15"/>
  <cols>
    <col min="1" max="1" width="46.140625" customWidth="1"/>
    <col min="2" max="4" width="13.42578125" customWidth="1"/>
    <col min="5" max="5" width="14.42578125" customWidth="1"/>
    <col min="6" max="6" width="15.28515625" customWidth="1"/>
    <col min="9" max="9" width="11.7109375" bestFit="1" customWidth="1"/>
    <col min="10" max="10" width="11.42578125" customWidth="1"/>
    <col min="11" max="11" width="10.42578125" bestFit="1" customWidth="1"/>
    <col min="12" max="12" width="13.28515625" bestFit="1" customWidth="1"/>
    <col min="13" max="14" width="13.28515625" customWidth="1"/>
    <col min="15" max="15" width="12.42578125" customWidth="1"/>
    <col min="16" max="16" width="12.7109375" bestFit="1" customWidth="1"/>
    <col min="19" max="19" width="10.42578125" customWidth="1"/>
    <col min="24" max="24" width="9.85546875" customWidth="1"/>
    <col min="29" max="29" width="10.28515625" customWidth="1"/>
  </cols>
  <sheetData>
    <row r="1" spans="1:15">
      <c r="A1" t="s">
        <v>152</v>
      </c>
      <c r="I1" s="269">
        <v>2013</v>
      </c>
      <c r="J1" s="270"/>
      <c r="K1" s="270"/>
      <c r="L1" s="271"/>
    </row>
    <row r="2" spans="1:15">
      <c r="G2" s="265" t="s">
        <v>9</v>
      </c>
      <c r="H2" s="266"/>
      <c r="I2" s="266"/>
      <c r="J2" s="266"/>
      <c r="K2" s="265" t="s">
        <v>9</v>
      </c>
      <c r="L2" s="266"/>
      <c r="M2" s="266"/>
      <c r="N2" s="266"/>
    </row>
    <row r="3" spans="1:15">
      <c r="G3" s="56" t="s">
        <v>14</v>
      </c>
      <c r="H3" s="11" t="s">
        <v>15</v>
      </c>
      <c r="I3" s="57" t="s">
        <v>16</v>
      </c>
      <c r="J3" s="57" t="s">
        <v>17</v>
      </c>
      <c r="K3" s="56" t="s">
        <v>14</v>
      </c>
      <c r="L3" s="11" t="s">
        <v>15</v>
      </c>
      <c r="M3" s="57" t="s">
        <v>16</v>
      </c>
      <c r="N3" s="57" t="s">
        <v>17</v>
      </c>
    </row>
    <row r="4" spans="1:15" ht="15.75" thickBot="1">
      <c r="A4" s="13" t="s">
        <v>5</v>
      </c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7"/>
      <c r="H4" s="1"/>
      <c r="I4" s="1"/>
      <c r="J4" s="1"/>
      <c r="K4" s="7"/>
      <c r="L4" s="1"/>
      <c r="M4" s="1"/>
      <c r="N4" s="95"/>
    </row>
    <row r="5" spans="1:15" ht="15.75" thickTop="1">
      <c r="A5" s="14" t="s">
        <v>108</v>
      </c>
      <c r="B5" s="15"/>
      <c r="C5" s="15"/>
      <c r="D5" s="15"/>
      <c r="E5" s="15"/>
      <c r="F5" s="15"/>
      <c r="G5" s="6"/>
      <c r="H5" s="3"/>
      <c r="K5" s="6"/>
      <c r="N5" s="49"/>
    </row>
    <row r="6" spans="1:15">
      <c r="A6" s="70"/>
      <c r="B6" s="79" t="s">
        <v>135</v>
      </c>
      <c r="C6" s="79"/>
      <c r="D6" s="79"/>
      <c r="E6" s="79"/>
      <c r="F6" s="79"/>
      <c r="G6" s="6"/>
      <c r="H6" s="3"/>
      <c r="K6" s="6"/>
      <c r="N6" s="49"/>
    </row>
    <row r="7" spans="1:15" ht="15.75" thickBot="1">
      <c r="A7" s="13" t="s">
        <v>55</v>
      </c>
      <c r="B7" s="13" t="s">
        <v>8</v>
      </c>
      <c r="C7" s="13" t="s">
        <v>109</v>
      </c>
      <c r="D7" s="13" t="s">
        <v>7</v>
      </c>
      <c r="E7" s="76">
        <v>500000</v>
      </c>
      <c r="F7" s="82" t="s">
        <v>51</v>
      </c>
      <c r="G7" s="7"/>
      <c r="H7" s="1"/>
      <c r="I7" s="1"/>
      <c r="J7" s="1"/>
      <c r="K7" s="7"/>
      <c r="L7" s="1"/>
      <c r="M7" s="1"/>
      <c r="N7" s="95"/>
    </row>
    <row r="8" spans="1:15" ht="15.75" thickTop="1">
      <c r="A8" s="14" t="s">
        <v>110</v>
      </c>
      <c r="B8" s="15"/>
      <c r="C8" s="15"/>
      <c r="D8" s="15"/>
      <c r="E8" s="15"/>
      <c r="F8" s="80"/>
      <c r="G8" s="6"/>
      <c r="H8" s="3"/>
      <c r="I8" s="73">
        <v>250000</v>
      </c>
      <c r="J8" s="73">
        <v>250000</v>
      </c>
      <c r="K8" s="6"/>
      <c r="N8" s="97"/>
    </row>
    <row r="9" spans="1:15">
      <c r="A9" s="14"/>
      <c r="B9" s="15"/>
      <c r="C9" s="15"/>
      <c r="D9" s="15"/>
      <c r="E9" s="15"/>
      <c r="F9" s="80"/>
      <c r="G9" s="6"/>
      <c r="H9" s="3"/>
      <c r="K9" s="6"/>
      <c r="N9" s="49"/>
    </row>
    <row r="10" spans="1:15" ht="15.75" thickBot="1">
      <c r="A10" s="13" t="s">
        <v>111</v>
      </c>
      <c r="B10" s="13" t="s">
        <v>24</v>
      </c>
      <c r="C10" s="13" t="s">
        <v>109</v>
      </c>
      <c r="D10" s="13" t="s">
        <v>7</v>
      </c>
      <c r="E10" s="76">
        <v>3530000</v>
      </c>
      <c r="F10" s="82" t="s">
        <v>51</v>
      </c>
      <c r="G10" s="7"/>
      <c r="H10" s="1"/>
      <c r="I10" s="1"/>
      <c r="J10" s="1"/>
      <c r="K10" s="7"/>
      <c r="L10" s="1"/>
      <c r="M10" s="1"/>
      <c r="N10" s="95"/>
    </row>
    <row r="11" spans="1:15" ht="15.75" thickTop="1">
      <c r="A11" s="15"/>
      <c r="B11" s="15"/>
      <c r="C11" s="15"/>
      <c r="D11" s="15"/>
      <c r="E11" s="15"/>
      <c r="F11" s="80"/>
      <c r="G11" s="6"/>
      <c r="H11" s="3"/>
      <c r="K11" s="6"/>
      <c r="O11" s="6"/>
    </row>
    <row r="12" spans="1:15">
      <c r="A12" s="15" t="s">
        <v>112</v>
      </c>
      <c r="B12" s="15"/>
      <c r="C12" s="15"/>
      <c r="D12" s="15"/>
      <c r="E12" s="15"/>
      <c r="F12" s="80"/>
      <c r="G12" s="6"/>
      <c r="H12" s="3"/>
      <c r="K12" s="6"/>
      <c r="L12" s="15"/>
      <c r="M12" s="15"/>
      <c r="N12" s="15"/>
      <c r="O12" s="17"/>
    </row>
    <row r="13" spans="1:15" ht="45">
      <c r="A13" s="71" t="s">
        <v>168</v>
      </c>
      <c r="B13" s="72" t="s">
        <v>92</v>
      </c>
      <c r="C13" s="72" t="s">
        <v>109</v>
      </c>
      <c r="D13" s="72" t="s">
        <v>7</v>
      </c>
      <c r="E13" s="73">
        <v>752641</v>
      </c>
      <c r="F13" s="80"/>
      <c r="G13" s="6"/>
      <c r="H13" s="3"/>
      <c r="K13" s="6"/>
      <c r="L13" s="73">
        <f>$E13/3</f>
        <v>250880.33333333334</v>
      </c>
      <c r="M13" s="73">
        <f t="shared" ref="M13:N13" si="0">$E13/3</f>
        <v>250880.33333333334</v>
      </c>
      <c r="N13" s="73">
        <f t="shared" si="0"/>
        <v>250880.33333333334</v>
      </c>
      <c r="O13" s="17"/>
    </row>
    <row r="14" spans="1:15">
      <c r="A14" s="15"/>
      <c r="B14" s="15"/>
      <c r="C14" s="15"/>
      <c r="D14" s="15"/>
      <c r="E14" s="15"/>
      <c r="F14" s="80"/>
      <c r="G14" s="6"/>
      <c r="H14" s="3"/>
      <c r="K14" s="6"/>
      <c r="L14" s="15"/>
      <c r="M14" s="15"/>
      <c r="N14" s="15"/>
      <c r="O14" s="17"/>
    </row>
    <row r="15" spans="1:15">
      <c r="A15" s="15" t="s">
        <v>113</v>
      </c>
      <c r="B15" s="15"/>
      <c r="C15" s="15"/>
      <c r="D15" s="15"/>
      <c r="E15" s="15"/>
      <c r="F15" s="80"/>
      <c r="G15" s="6"/>
      <c r="H15" s="3"/>
      <c r="K15" s="6"/>
      <c r="L15" s="15"/>
      <c r="M15" s="15"/>
      <c r="N15" s="15"/>
      <c r="O15" s="17"/>
    </row>
    <row r="16" spans="1:15" ht="45">
      <c r="A16" s="71" t="s">
        <v>169</v>
      </c>
      <c r="B16" s="72" t="s">
        <v>92</v>
      </c>
      <c r="C16" s="72" t="s">
        <v>109</v>
      </c>
      <c r="D16" s="72" t="s">
        <v>7</v>
      </c>
      <c r="E16" s="73">
        <v>1711513</v>
      </c>
      <c r="F16" s="80"/>
      <c r="G16" s="6"/>
      <c r="H16" s="3"/>
      <c r="K16" s="6"/>
      <c r="L16" s="73">
        <f>$E16/3</f>
        <v>570504.33333333337</v>
      </c>
      <c r="M16" s="73">
        <f t="shared" ref="M16:N16" si="1">$E16/3</f>
        <v>570504.33333333337</v>
      </c>
      <c r="N16" s="73">
        <f t="shared" si="1"/>
        <v>570504.33333333337</v>
      </c>
      <c r="O16" s="17"/>
    </row>
    <row r="17" spans="1:16">
      <c r="A17" s="74"/>
      <c r="B17" s="15"/>
      <c r="C17" s="15"/>
      <c r="D17" s="15"/>
      <c r="E17" s="15"/>
      <c r="F17" s="80"/>
      <c r="G17" s="6"/>
      <c r="H17" s="3"/>
      <c r="K17" s="6"/>
      <c r="L17" s="15"/>
      <c r="M17" s="15"/>
      <c r="N17" s="15"/>
      <c r="O17" s="17"/>
    </row>
    <row r="18" spans="1:16">
      <c r="A18" s="15" t="s">
        <v>114</v>
      </c>
      <c r="B18" s="15"/>
      <c r="C18" s="15"/>
      <c r="D18" s="15"/>
      <c r="E18" s="15"/>
      <c r="F18" s="80"/>
      <c r="G18" s="6"/>
      <c r="H18" s="3"/>
      <c r="K18" s="6"/>
      <c r="L18" s="15"/>
      <c r="M18" s="15"/>
      <c r="N18" s="15"/>
      <c r="O18" s="17"/>
    </row>
    <row r="19" spans="1:16">
      <c r="A19" s="75" t="s">
        <v>115</v>
      </c>
      <c r="B19" s="72" t="s">
        <v>92</v>
      </c>
      <c r="C19" s="72" t="s">
        <v>109</v>
      </c>
      <c r="D19" s="72" t="s">
        <v>7</v>
      </c>
      <c r="E19" s="25">
        <v>622380</v>
      </c>
      <c r="F19" s="80"/>
      <c r="G19" s="6"/>
      <c r="H19" s="3"/>
      <c r="K19" s="6"/>
      <c r="L19" s="73">
        <f>$E19/3</f>
        <v>207460</v>
      </c>
      <c r="M19" s="73">
        <f t="shared" ref="M19:N19" si="2">$E19/3</f>
        <v>207460</v>
      </c>
      <c r="N19" s="73">
        <f t="shared" si="2"/>
        <v>207460</v>
      </c>
      <c r="O19" s="17"/>
    </row>
    <row r="20" spans="1:16">
      <c r="A20" s="74"/>
      <c r="B20" s="15"/>
      <c r="C20" s="15"/>
      <c r="D20" s="15"/>
      <c r="E20" s="15"/>
      <c r="F20" s="80"/>
      <c r="G20" s="6"/>
      <c r="H20" s="3"/>
      <c r="K20" s="6"/>
      <c r="L20" s="15"/>
      <c r="M20" s="15"/>
      <c r="N20" s="15"/>
      <c r="O20" s="17"/>
    </row>
    <row r="21" spans="1:16">
      <c r="A21" s="15" t="s">
        <v>116</v>
      </c>
      <c r="B21" s="15"/>
      <c r="C21" s="15"/>
      <c r="D21" s="15"/>
      <c r="E21" s="15"/>
      <c r="F21" s="80"/>
      <c r="G21" s="6"/>
      <c r="H21" s="3"/>
      <c r="K21" s="6"/>
      <c r="L21" s="15"/>
      <c r="M21" s="15"/>
      <c r="N21" s="15"/>
      <c r="O21" s="17"/>
    </row>
    <row r="22" spans="1:16" ht="30">
      <c r="A22" s="71" t="s">
        <v>170</v>
      </c>
      <c r="B22" s="72" t="s">
        <v>92</v>
      </c>
      <c r="C22" s="72" t="s">
        <v>109</v>
      </c>
      <c r="D22" s="72" t="s">
        <v>7</v>
      </c>
      <c r="E22" s="73">
        <v>439079</v>
      </c>
      <c r="F22" s="80"/>
      <c r="G22" s="6"/>
      <c r="H22" s="3"/>
      <c r="I22" s="15"/>
      <c r="J22" s="15"/>
      <c r="K22" s="6"/>
      <c r="L22" s="73">
        <f>$E22/3</f>
        <v>146359.66666666666</v>
      </c>
      <c r="M22" s="73">
        <f t="shared" ref="M22:N22" si="3">$E22/3</f>
        <v>146359.66666666666</v>
      </c>
      <c r="N22" s="73">
        <f t="shared" si="3"/>
        <v>146359.66666666666</v>
      </c>
      <c r="O22" s="17"/>
    </row>
    <row r="23" spans="1:16">
      <c r="A23" s="15"/>
      <c r="B23" s="15"/>
      <c r="C23" s="15"/>
      <c r="D23" s="15"/>
      <c r="E23" s="15"/>
      <c r="F23" s="80"/>
      <c r="G23" s="6"/>
      <c r="H23" s="3"/>
      <c r="K23" s="6"/>
      <c r="O23" s="6"/>
    </row>
    <row r="24" spans="1:16">
      <c r="A24" s="24" t="s">
        <v>134</v>
      </c>
      <c r="B24" s="24"/>
      <c r="C24" s="24"/>
      <c r="D24" s="24"/>
      <c r="E24" s="85">
        <f>SUM(E13:E22)</f>
        <v>3525613</v>
      </c>
      <c r="F24" s="80"/>
      <c r="G24" s="6"/>
      <c r="H24" s="3"/>
      <c r="K24" s="6"/>
      <c r="N24" s="73">
        <f>E10-E24</f>
        <v>4387</v>
      </c>
      <c r="O24" s="17"/>
    </row>
    <row r="25" spans="1:16">
      <c r="A25" s="156"/>
      <c r="B25" s="156"/>
      <c r="C25" s="156"/>
      <c r="D25" s="156"/>
      <c r="E25" s="156"/>
      <c r="F25" s="80"/>
      <c r="G25" s="39"/>
      <c r="H25" s="192"/>
      <c r="I25" s="192"/>
      <c r="J25" s="193"/>
      <c r="K25" s="39"/>
      <c r="L25" s="192"/>
      <c r="M25" s="192"/>
      <c r="N25" s="194"/>
    </row>
    <row r="26" spans="1:16">
      <c r="A26" s="15"/>
      <c r="B26" s="15"/>
      <c r="C26" s="15"/>
      <c r="D26" s="15"/>
      <c r="E26" s="15"/>
      <c r="F26" s="15"/>
    </row>
    <row r="27" spans="1:16">
      <c r="A27" s="15" t="s">
        <v>131</v>
      </c>
      <c r="B27" s="15"/>
      <c r="C27" s="15"/>
      <c r="D27" s="15"/>
      <c r="E27" s="21">
        <f>E10+E7</f>
        <v>4030000</v>
      </c>
      <c r="F27" s="15"/>
      <c r="I27" s="10">
        <f>SUM(I8:I25)</f>
        <v>250000</v>
      </c>
      <c r="J27" s="10">
        <f t="shared" ref="J27:N27" si="4">SUM(J8:J25)</f>
        <v>250000</v>
      </c>
      <c r="K27" s="10">
        <f t="shared" si="4"/>
        <v>0</v>
      </c>
      <c r="L27" s="10">
        <f t="shared" si="4"/>
        <v>1175204.3333333335</v>
      </c>
      <c r="M27" s="10">
        <f t="shared" si="4"/>
        <v>1175204.3333333335</v>
      </c>
      <c r="N27" s="10">
        <f t="shared" si="4"/>
        <v>1179591.3333333335</v>
      </c>
      <c r="O27" s="10"/>
      <c r="P27" s="10"/>
    </row>
    <row r="28" spans="1:16">
      <c r="A28" s="15" t="s">
        <v>119</v>
      </c>
      <c r="B28" s="15"/>
      <c r="C28" s="15"/>
      <c r="D28" s="15"/>
      <c r="E28" s="21">
        <f>E27*0.035</f>
        <v>141050</v>
      </c>
      <c r="F28" s="15"/>
      <c r="I28" s="10">
        <f>I27*0.035</f>
        <v>8750</v>
      </c>
      <c r="J28" s="10">
        <f t="shared" ref="J28:N28" si="5">J27*0.035</f>
        <v>8750</v>
      </c>
      <c r="K28" s="10">
        <f t="shared" si="5"/>
        <v>0</v>
      </c>
      <c r="L28" s="10">
        <f t="shared" si="5"/>
        <v>41132.151666666679</v>
      </c>
      <c r="M28" s="10">
        <f t="shared" si="5"/>
        <v>41132.151666666679</v>
      </c>
      <c r="N28" s="10">
        <f t="shared" si="5"/>
        <v>41285.696666666678</v>
      </c>
      <c r="O28" s="10"/>
      <c r="P28" s="10"/>
    </row>
    <row r="29" spans="1:16">
      <c r="A29" s="15"/>
      <c r="B29" s="15"/>
      <c r="C29" s="15"/>
      <c r="D29" s="15"/>
      <c r="E29" s="21"/>
      <c r="F29" s="15"/>
      <c r="I29" s="10"/>
      <c r="J29" s="10"/>
      <c r="K29" s="10"/>
      <c r="L29" s="10"/>
      <c r="M29" s="10"/>
      <c r="N29" s="10"/>
      <c r="O29" s="10"/>
      <c r="P29" s="10"/>
    </row>
    <row r="30" spans="1:16">
      <c r="A30" s="15" t="s">
        <v>20</v>
      </c>
      <c r="B30" s="15"/>
      <c r="C30" s="15"/>
      <c r="D30" s="15"/>
      <c r="E30" s="191">
        <f>E27+E28</f>
        <v>4171050</v>
      </c>
      <c r="F30" s="15"/>
      <c r="I30" s="10">
        <f>I27+I28</f>
        <v>258750</v>
      </c>
      <c r="J30" s="10">
        <f t="shared" ref="J30:N30" si="6">J27+J28</f>
        <v>258750</v>
      </c>
      <c r="K30" s="10">
        <f t="shared" si="6"/>
        <v>0</v>
      </c>
      <c r="L30" s="10">
        <f t="shared" si="6"/>
        <v>1216336.4850000001</v>
      </c>
      <c r="M30" s="10">
        <f t="shared" si="6"/>
        <v>1216336.4850000001</v>
      </c>
      <c r="N30" s="10">
        <f t="shared" si="6"/>
        <v>1220877.0300000003</v>
      </c>
      <c r="O30" s="10"/>
      <c r="P30" s="102">
        <f>SUM(I30:O30)</f>
        <v>4171050.0000000005</v>
      </c>
    </row>
    <row r="31" spans="1:16">
      <c r="A31" s="15"/>
      <c r="B31" s="15"/>
      <c r="C31" s="15"/>
      <c r="D31" s="15"/>
      <c r="E31" s="21"/>
      <c r="F31" s="15"/>
    </row>
    <row r="32" spans="1:16">
      <c r="A32" s="15" t="s">
        <v>12</v>
      </c>
      <c r="B32" s="15"/>
      <c r="C32" s="15"/>
      <c r="D32" s="15"/>
      <c r="E32" s="21">
        <f>E30*0.8</f>
        <v>3336840</v>
      </c>
      <c r="F32" s="77">
        <f>E32/E30</f>
        <v>0.8</v>
      </c>
    </row>
    <row r="33" spans="1:29">
      <c r="A33" s="15"/>
      <c r="B33" s="15"/>
      <c r="C33" s="15"/>
      <c r="D33" s="15"/>
      <c r="E33" s="15"/>
      <c r="F33" s="15"/>
    </row>
    <row r="34" spans="1:29">
      <c r="A34" s="15" t="s">
        <v>130</v>
      </c>
      <c r="B34" s="15"/>
      <c r="C34" s="15"/>
      <c r="D34" s="15"/>
      <c r="E34" s="21">
        <f>E30-E32</f>
        <v>834210</v>
      </c>
      <c r="F34" s="77">
        <f>E34/E30</f>
        <v>0.2</v>
      </c>
    </row>
    <row r="36" spans="1:29">
      <c r="A36" s="20"/>
      <c r="B36" s="15"/>
      <c r="C36" s="15"/>
      <c r="D36" s="15"/>
      <c r="E36" s="21"/>
      <c r="F36" s="15"/>
      <c r="N36" s="10"/>
      <c r="S36" s="10"/>
      <c r="X36" s="10"/>
      <c r="AC36" s="10">
        <f>$E36*6</f>
        <v>0</v>
      </c>
    </row>
    <row r="37" spans="1:29">
      <c r="A37" s="20"/>
      <c r="B37" s="15"/>
      <c r="C37" s="15"/>
      <c r="D37" s="15"/>
      <c r="E37" s="21"/>
      <c r="F37" s="15"/>
      <c r="S37" s="10"/>
      <c r="AC37" s="10">
        <f>$E37*6</f>
        <v>0</v>
      </c>
    </row>
  </sheetData>
  <mergeCells count="3">
    <mergeCell ref="I1:L1"/>
    <mergeCell ref="G2:J2"/>
    <mergeCell ref="K2:N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41"/>
  <sheetViews>
    <sheetView zoomScale="75" zoomScaleNormal="75" workbookViewId="0">
      <selection activeCell="A40" sqref="A1:AA40"/>
    </sheetView>
  </sheetViews>
  <sheetFormatPr defaultRowHeight="15"/>
  <cols>
    <col min="1" max="1" width="46.140625" customWidth="1"/>
    <col min="2" max="4" width="8.7109375" customWidth="1"/>
    <col min="5" max="5" width="14.42578125" customWidth="1"/>
    <col min="6" max="6" width="15.28515625" customWidth="1"/>
    <col min="7" max="8" width="9.5703125" bestFit="1" customWidth="1"/>
    <col min="9" max="14" width="13.85546875" bestFit="1" customWidth="1"/>
    <col min="15" max="15" width="12.42578125" customWidth="1"/>
    <col min="16" max="16" width="15.7109375" bestFit="1" customWidth="1"/>
    <col min="17" max="17" width="13.85546875" bestFit="1" customWidth="1"/>
    <col min="18" max="18" width="15.7109375" bestFit="1" customWidth="1"/>
    <col min="19" max="19" width="13.140625" customWidth="1"/>
    <col min="20" max="20" width="15.7109375" bestFit="1" customWidth="1"/>
    <col min="21" max="21" width="13.85546875" bestFit="1" customWidth="1"/>
    <col min="22" max="23" width="15.7109375" bestFit="1" customWidth="1"/>
    <col min="24" max="24" width="13.7109375" customWidth="1"/>
    <col min="25" max="25" width="15.7109375" bestFit="1" customWidth="1"/>
    <col min="27" max="27" width="13.42578125" customWidth="1"/>
    <col min="28" max="28" width="16.42578125" customWidth="1"/>
    <col min="29" max="29" width="10.28515625" customWidth="1"/>
  </cols>
  <sheetData>
    <row r="1" spans="1:28">
      <c r="A1" s="42" t="s">
        <v>64</v>
      </c>
      <c r="I1" s="272" t="s">
        <v>138</v>
      </c>
      <c r="J1" s="273"/>
      <c r="K1" s="273"/>
      <c r="L1" s="274"/>
      <c r="M1" s="272" t="s">
        <v>164</v>
      </c>
      <c r="N1" s="273"/>
      <c r="O1" s="273"/>
      <c r="P1" s="274"/>
      <c r="Q1" s="272" t="s">
        <v>165</v>
      </c>
      <c r="R1" s="273"/>
      <c r="S1" s="273"/>
      <c r="T1" s="274"/>
      <c r="U1" s="272" t="s">
        <v>107</v>
      </c>
      <c r="V1" s="273"/>
      <c r="W1" s="273"/>
      <c r="X1" s="274"/>
      <c r="Y1" s="263"/>
      <c r="Z1" s="264"/>
      <c r="AA1" s="264"/>
      <c r="AB1" s="264"/>
    </row>
    <row r="2" spans="1:28">
      <c r="A2" t="s">
        <v>152</v>
      </c>
      <c r="G2" s="265" t="s">
        <v>9</v>
      </c>
      <c r="H2" s="266"/>
      <c r="I2" s="266"/>
      <c r="J2" s="266"/>
      <c r="K2" s="265" t="s">
        <v>10</v>
      </c>
      <c r="L2" s="267"/>
      <c r="M2" s="267"/>
      <c r="N2" s="268"/>
      <c r="O2" s="265" t="s">
        <v>11</v>
      </c>
      <c r="P2" s="266"/>
      <c r="Q2" s="266"/>
      <c r="R2" s="266"/>
      <c r="S2" s="265" t="s">
        <v>18</v>
      </c>
      <c r="T2" s="266"/>
      <c r="U2" s="266"/>
      <c r="V2" s="266"/>
      <c r="W2" s="265" t="s">
        <v>19</v>
      </c>
      <c r="X2" s="266"/>
      <c r="Y2" s="266"/>
      <c r="Z2" s="266"/>
      <c r="AA2" s="244"/>
    </row>
    <row r="3" spans="1:28">
      <c r="G3" s="201" t="s">
        <v>14</v>
      </c>
      <c r="H3" s="203" t="s">
        <v>15</v>
      </c>
      <c r="I3" s="202" t="s">
        <v>16</v>
      </c>
      <c r="J3" s="202" t="s">
        <v>17</v>
      </c>
      <c r="K3" s="201" t="s">
        <v>14</v>
      </c>
      <c r="L3" s="203" t="s">
        <v>15</v>
      </c>
      <c r="M3" s="202" t="s">
        <v>16</v>
      </c>
      <c r="N3" s="202" t="s">
        <v>17</v>
      </c>
      <c r="O3" s="201" t="s">
        <v>14</v>
      </c>
      <c r="P3" s="203" t="s">
        <v>15</v>
      </c>
      <c r="Q3" s="202" t="s">
        <v>16</v>
      </c>
      <c r="R3" s="202" t="s">
        <v>17</v>
      </c>
      <c r="S3" s="201" t="s">
        <v>14</v>
      </c>
      <c r="T3" s="203" t="s">
        <v>15</v>
      </c>
      <c r="U3" s="202" t="s">
        <v>16</v>
      </c>
      <c r="V3" s="202" t="s">
        <v>17</v>
      </c>
      <c r="W3" s="201" t="s">
        <v>14</v>
      </c>
      <c r="X3" s="203" t="s">
        <v>15</v>
      </c>
      <c r="Y3" s="202" t="s">
        <v>16</v>
      </c>
      <c r="Z3" s="202" t="s">
        <v>17</v>
      </c>
      <c r="AA3" s="245"/>
    </row>
    <row r="4" spans="1:28" ht="15.75" thickBot="1">
      <c r="A4" s="43" t="s">
        <v>5</v>
      </c>
      <c r="B4" s="43" t="s">
        <v>0</v>
      </c>
      <c r="C4" s="43" t="s">
        <v>1</v>
      </c>
      <c r="D4" s="43" t="s">
        <v>2</v>
      </c>
      <c r="E4" s="43" t="s">
        <v>3</v>
      </c>
      <c r="F4" s="43" t="s">
        <v>4</v>
      </c>
      <c r="G4" s="44"/>
      <c r="H4" s="45"/>
      <c r="I4" s="45"/>
      <c r="J4" s="45"/>
      <c r="K4" s="44"/>
      <c r="L4" s="45"/>
      <c r="M4" s="45"/>
      <c r="N4" s="45"/>
      <c r="O4" s="44"/>
      <c r="P4" s="45"/>
      <c r="Q4" s="45"/>
      <c r="R4" s="45"/>
      <c r="S4" s="44"/>
      <c r="T4" s="45"/>
      <c r="U4" s="45"/>
      <c r="V4" s="45"/>
      <c r="W4" s="44"/>
      <c r="X4" s="45"/>
      <c r="Y4" s="45"/>
      <c r="Z4" s="45"/>
      <c r="AA4" s="244"/>
    </row>
    <row r="5" spans="1:28" ht="15.75" thickTop="1">
      <c r="A5" t="s">
        <v>65</v>
      </c>
      <c r="G5" s="6"/>
      <c r="H5" s="3"/>
      <c r="K5" s="6"/>
      <c r="O5" s="6"/>
      <c r="S5" s="6"/>
      <c r="W5" s="6"/>
      <c r="AA5" s="246"/>
    </row>
    <row r="6" spans="1:28">
      <c r="A6" t="s">
        <v>66</v>
      </c>
      <c r="G6" s="6"/>
      <c r="H6" s="3"/>
      <c r="K6" s="6"/>
      <c r="O6" s="6"/>
      <c r="S6" s="6"/>
      <c r="W6" s="6"/>
      <c r="AA6" s="246"/>
    </row>
    <row r="7" spans="1:28">
      <c r="A7" s="4"/>
      <c r="G7" s="6"/>
      <c r="H7" s="3"/>
      <c r="K7" s="6"/>
      <c r="O7" s="6"/>
      <c r="S7" s="6"/>
      <c r="W7" s="6"/>
      <c r="AA7" s="247"/>
    </row>
    <row r="8" spans="1:28" ht="15.75" thickBot="1">
      <c r="A8" s="46" t="s">
        <v>33</v>
      </c>
      <c r="B8" s="45" t="s">
        <v>8</v>
      </c>
      <c r="C8" s="45" t="s">
        <v>6</v>
      </c>
      <c r="D8" s="45" t="s">
        <v>6</v>
      </c>
      <c r="E8" s="47">
        <f>SUM(E9:E12)</f>
        <v>210000</v>
      </c>
      <c r="F8" s="248" t="s">
        <v>51</v>
      </c>
      <c r="G8" s="44"/>
      <c r="H8" s="45"/>
      <c r="I8" s="45"/>
      <c r="J8" s="45"/>
      <c r="K8" s="44"/>
      <c r="L8" s="45"/>
      <c r="M8" s="45"/>
      <c r="N8" s="45"/>
      <c r="O8" s="44"/>
      <c r="P8" s="45"/>
      <c r="Q8" s="45"/>
      <c r="R8" s="45"/>
      <c r="S8" s="44"/>
      <c r="T8" s="45"/>
      <c r="U8" s="45"/>
      <c r="V8" s="45"/>
      <c r="W8" s="44"/>
      <c r="X8" s="45"/>
      <c r="Y8" s="45"/>
      <c r="Z8" s="45"/>
      <c r="AA8" s="247"/>
    </row>
    <row r="9" spans="1:28" s="15" customFormat="1" ht="15.75" thickTop="1">
      <c r="A9" s="32" t="s">
        <v>67</v>
      </c>
      <c r="E9" s="33">
        <v>50000</v>
      </c>
      <c r="F9" s="249"/>
      <c r="G9" s="34"/>
      <c r="H9" s="35"/>
      <c r="I9" s="35">
        <f>E9/2</f>
        <v>25000</v>
      </c>
      <c r="J9" s="37">
        <f>E9/2</f>
        <v>25000</v>
      </c>
      <c r="K9" s="17"/>
      <c r="O9" s="17"/>
      <c r="S9" s="17"/>
      <c r="W9" s="17"/>
      <c r="AA9" s="247">
        <f t="shared" ref="AA9:AA32" si="0">SUM(G9:Z9)</f>
        <v>50000</v>
      </c>
      <c r="AB9" s="36"/>
    </row>
    <row r="10" spans="1:28" s="15" customFormat="1">
      <c r="A10" s="32" t="s">
        <v>68</v>
      </c>
      <c r="E10" s="33">
        <v>10000</v>
      </c>
      <c r="F10" s="249"/>
      <c r="G10" s="34"/>
      <c r="H10" s="37"/>
      <c r="I10" s="36">
        <f>E10/2</f>
        <v>5000</v>
      </c>
      <c r="J10" s="37">
        <f>E10/2</f>
        <v>5000</v>
      </c>
      <c r="K10" s="17"/>
      <c r="O10" s="17"/>
      <c r="S10" s="17"/>
      <c r="W10" s="17"/>
      <c r="AA10" s="247">
        <f t="shared" si="0"/>
        <v>10000</v>
      </c>
      <c r="AB10" s="36"/>
    </row>
    <row r="11" spans="1:28" s="15" customFormat="1">
      <c r="A11" s="14" t="s">
        <v>69</v>
      </c>
      <c r="E11" s="33">
        <v>150000</v>
      </c>
      <c r="F11" s="249"/>
      <c r="G11" s="34"/>
      <c r="H11" s="37"/>
      <c r="I11" s="37">
        <f>E11/2</f>
        <v>75000</v>
      </c>
      <c r="J11" s="37">
        <f>E11/2</f>
        <v>75000</v>
      </c>
      <c r="K11" s="17"/>
      <c r="O11" s="17"/>
      <c r="S11" s="17"/>
      <c r="W11" s="17"/>
      <c r="AA11" s="247">
        <f t="shared" si="0"/>
        <v>150000</v>
      </c>
      <c r="AB11" s="36"/>
    </row>
    <row r="12" spans="1:28" s="15" customFormat="1">
      <c r="A12" s="14"/>
      <c r="F12" s="249"/>
      <c r="G12" s="17"/>
      <c r="H12" s="14"/>
      <c r="K12" s="17"/>
      <c r="O12" s="17"/>
      <c r="S12" s="17"/>
      <c r="W12" s="17"/>
      <c r="AA12" s="247"/>
      <c r="AB12" s="36"/>
    </row>
    <row r="13" spans="1:28" ht="15.75" thickBot="1">
      <c r="A13" s="46" t="s">
        <v>70</v>
      </c>
      <c r="B13" s="45" t="s">
        <v>71</v>
      </c>
      <c r="C13" s="45" t="s">
        <v>6</v>
      </c>
      <c r="D13" s="45" t="s">
        <v>6</v>
      </c>
      <c r="E13" s="47">
        <f>SUM(E14:E19)</f>
        <v>2815000</v>
      </c>
      <c r="F13" s="248"/>
      <c r="G13" s="44"/>
      <c r="H13" s="45"/>
      <c r="I13" s="45"/>
      <c r="J13" s="45"/>
      <c r="K13" s="44"/>
      <c r="L13" s="45"/>
      <c r="M13" s="45"/>
      <c r="N13" s="45"/>
      <c r="O13" s="44"/>
      <c r="P13" s="45"/>
      <c r="Q13" s="45"/>
      <c r="R13" s="45"/>
      <c r="S13" s="44"/>
      <c r="T13" s="45"/>
      <c r="U13" s="45"/>
      <c r="V13" s="45"/>
      <c r="W13" s="44"/>
      <c r="X13" s="45"/>
      <c r="Y13" s="45"/>
      <c r="Z13" s="45"/>
      <c r="AA13" s="247"/>
      <c r="AB13" s="36"/>
    </row>
    <row r="14" spans="1:28" s="15" customFormat="1" ht="15.75" thickTop="1">
      <c r="A14" s="32" t="s">
        <v>67</v>
      </c>
      <c r="E14" s="33">
        <v>150000</v>
      </c>
      <c r="F14" s="249"/>
      <c r="G14" s="17"/>
      <c r="H14" s="14"/>
      <c r="K14" s="34">
        <f>($E$14/4)</f>
        <v>37500</v>
      </c>
      <c r="L14" s="35">
        <f>($E$14/4)</f>
        <v>37500</v>
      </c>
      <c r="M14" s="35">
        <f>($E$14/4)</f>
        <v>37500</v>
      </c>
      <c r="N14" s="37">
        <f>($E$14/4)</f>
        <v>37500</v>
      </c>
      <c r="O14" s="17"/>
      <c r="S14" s="17"/>
      <c r="W14" s="17"/>
      <c r="AA14" s="247">
        <f t="shared" si="0"/>
        <v>150000</v>
      </c>
      <c r="AB14" s="36"/>
    </row>
    <row r="15" spans="1:28" s="15" customFormat="1">
      <c r="A15" s="14" t="s">
        <v>85</v>
      </c>
      <c r="E15" s="33">
        <f>ROUND(0.035*SUM(E8,E14,E16:E18,E20,E23,E32),-4)</f>
        <v>530000</v>
      </c>
      <c r="F15" s="249"/>
      <c r="G15" s="17"/>
      <c r="H15" s="14"/>
      <c r="K15" s="34">
        <f t="shared" ref="K15:Y15" si="1">$E15/15</f>
        <v>35333.333333333336</v>
      </c>
      <c r="L15" s="37">
        <f t="shared" si="1"/>
        <v>35333.333333333336</v>
      </c>
      <c r="M15" s="37">
        <f t="shared" si="1"/>
        <v>35333.333333333336</v>
      </c>
      <c r="N15" s="37">
        <f t="shared" si="1"/>
        <v>35333.333333333336</v>
      </c>
      <c r="O15" s="34">
        <f t="shared" si="1"/>
        <v>35333.333333333336</v>
      </c>
      <c r="P15" s="36">
        <f t="shared" si="1"/>
        <v>35333.333333333336</v>
      </c>
      <c r="Q15" s="36">
        <f t="shared" si="1"/>
        <v>35333.333333333336</v>
      </c>
      <c r="R15" s="36">
        <f t="shared" si="1"/>
        <v>35333.333333333336</v>
      </c>
      <c r="S15" s="34">
        <f t="shared" si="1"/>
        <v>35333.333333333336</v>
      </c>
      <c r="T15" s="36">
        <f t="shared" si="1"/>
        <v>35333.333333333336</v>
      </c>
      <c r="U15" s="36">
        <f t="shared" si="1"/>
        <v>35333.333333333336</v>
      </c>
      <c r="V15" s="36">
        <f t="shared" si="1"/>
        <v>35333.333333333336</v>
      </c>
      <c r="W15" s="34">
        <f t="shared" si="1"/>
        <v>35333.333333333336</v>
      </c>
      <c r="X15" s="36">
        <f t="shared" si="1"/>
        <v>35333.333333333336</v>
      </c>
      <c r="Y15" s="36">
        <f t="shared" si="1"/>
        <v>35333.333333333336</v>
      </c>
      <c r="AA15" s="247">
        <f t="shared" si="0"/>
        <v>529999.99999999988</v>
      </c>
      <c r="AB15" s="36"/>
    </row>
    <row r="16" spans="1:28" s="15" customFormat="1">
      <c r="A16" s="32" t="s">
        <v>68</v>
      </c>
      <c r="E16" s="33">
        <v>100000</v>
      </c>
      <c r="F16" s="249"/>
      <c r="G16" s="17"/>
      <c r="H16" s="14"/>
      <c r="K16" s="34">
        <f>($E$16/4)</f>
        <v>25000</v>
      </c>
      <c r="L16" s="37">
        <f>($E$16/4)</f>
        <v>25000</v>
      </c>
      <c r="M16" s="37">
        <f>($E$16/4)</f>
        <v>25000</v>
      </c>
      <c r="N16" s="37">
        <f>($E$16/4)</f>
        <v>25000</v>
      </c>
      <c r="O16" s="17"/>
      <c r="S16" s="17"/>
      <c r="W16" s="17"/>
      <c r="AA16" s="247">
        <f t="shared" si="0"/>
        <v>100000</v>
      </c>
      <c r="AB16" s="36"/>
    </row>
    <row r="17" spans="1:30" s="15" customFormat="1">
      <c r="A17" s="14" t="s">
        <v>72</v>
      </c>
      <c r="E17" s="33">
        <v>1260000</v>
      </c>
      <c r="F17" s="249"/>
      <c r="G17" s="17"/>
      <c r="H17" s="14"/>
      <c r="K17" s="34">
        <f>($E$17/4)</f>
        <v>315000</v>
      </c>
      <c r="L17" s="37">
        <f>($E$17/4)</f>
        <v>315000</v>
      </c>
      <c r="M17" s="37">
        <f>($E$17/4)</f>
        <v>315000</v>
      </c>
      <c r="N17" s="37">
        <f>($E$17/4)</f>
        <v>315000</v>
      </c>
      <c r="O17" s="17"/>
      <c r="S17" s="17"/>
      <c r="W17" s="17"/>
      <c r="AA17" s="247">
        <f t="shared" si="0"/>
        <v>1260000</v>
      </c>
      <c r="AB17" s="36"/>
    </row>
    <row r="18" spans="1:30" s="15" customFormat="1">
      <c r="A18" s="14" t="s">
        <v>73</v>
      </c>
      <c r="E18" s="33">
        <v>775000</v>
      </c>
      <c r="F18" s="249"/>
      <c r="G18" s="17"/>
      <c r="H18" s="14"/>
      <c r="K18" s="34"/>
      <c r="L18" s="37"/>
      <c r="M18" s="37"/>
      <c r="N18" s="37"/>
      <c r="O18" s="34">
        <f t="shared" ref="O18:Y18" si="2">$E$18/11</f>
        <v>70454.545454545456</v>
      </c>
      <c r="P18" s="36">
        <f t="shared" si="2"/>
        <v>70454.545454545456</v>
      </c>
      <c r="Q18" s="36">
        <f t="shared" si="2"/>
        <v>70454.545454545456</v>
      </c>
      <c r="R18" s="36">
        <f t="shared" si="2"/>
        <v>70454.545454545456</v>
      </c>
      <c r="S18" s="34">
        <f t="shared" si="2"/>
        <v>70454.545454545456</v>
      </c>
      <c r="T18" s="36">
        <f t="shared" si="2"/>
        <v>70454.545454545456</v>
      </c>
      <c r="U18" s="36">
        <f t="shared" si="2"/>
        <v>70454.545454545456</v>
      </c>
      <c r="V18" s="36">
        <f t="shared" si="2"/>
        <v>70454.545454545456</v>
      </c>
      <c r="W18" s="34">
        <f t="shared" si="2"/>
        <v>70454.545454545456</v>
      </c>
      <c r="X18" s="36">
        <f t="shared" si="2"/>
        <v>70454.545454545456</v>
      </c>
      <c r="Y18" s="36">
        <f t="shared" si="2"/>
        <v>70454.545454545456</v>
      </c>
      <c r="AA18" s="247">
        <f t="shared" si="0"/>
        <v>774999.99999999988</v>
      </c>
      <c r="AB18" s="36"/>
    </row>
    <row r="19" spans="1:30" s="15" customFormat="1">
      <c r="A19" s="14"/>
      <c r="F19" s="249"/>
      <c r="G19" s="17"/>
      <c r="H19" s="14"/>
      <c r="K19" s="17"/>
      <c r="O19" s="17"/>
      <c r="S19" s="17"/>
      <c r="W19" s="17"/>
      <c r="AA19" s="247"/>
      <c r="AB19" s="36"/>
    </row>
    <row r="20" spans="1:30" ht="15.75" thickBot="1">
      <c r="A20" s="46" t="s">
        <v>74</v>
      </c>
      <c r="B20" s="45" t="s">
        <v>75</v>
      </c>
      <c r="C20" s="45" t="s">
        <v>6</v>
      </c>
      <c r="D20" s="45" t="s">
        <v>6</v>
      </c>
      <c r="E20" s="47">
        <f>SUM(E21:E22)</f>
        <v>500000</v>
      </c>
      <c r="F20" s="248"/>
      <c r="G20" s="44"/>
      <c r="H20" s="45"/>
      <c r="I20" s="45"/>
      <c r="J20" s="45"/>
      <c r="K20" s="44"/>
      <c r="L20" s="45"/>
      <c r="M20" s="45"/>
      <c r="N20" s="45"/>
      <c r="O20" s="44"/>
      <c r="P20" s="45"/>
      <c r="Q20" s="45"/>
      <c r="R20" s="45"/>
      <c r="S20" s="44"/>
      <c r="T20" s="45"/>
      <c r="U20" s="45"/>
      <c r="V20" s="45"/>
      <c r="W20" s="44"/>
      <c r="X20" s="45"/>
      <c r="Y20" s="45"/>
      <c r="Z20" s="45"/>
      <c r="AA20" s="247"/>
      <c r="AB20" s="36"/>
    </row>
    <row r="21" spans="1:30" s="15" customFormat="1" ht="15.75" thickTop="1">
      <c r="A21" s="14" t="s">
        <v>76</v>
      </c>
      <c r="E21" s="33">
        <v>500000</v>
      </c>
      <c r="F21" s="249"/>
      <c r="G21" s="17"/>
      <c r="H21" s="14"/>
      <c r="K21" s="17"/>
      <c r="M21" s="36"/>
      <c r="N21" s="36">
        <v>500000</v>
      </c>
      <c r="O21" s="17"/>
      <c r="S21" s="17"/>
      <c r="W21" s="17"/>
      <c r="AA21" s="247">
        <f t="shared" si="0"/>
        <v>500000</v>
      </c>
      <c r="AB21" s="36"/>
    </row>
    <row r="22" spans="1:30" s="15" customFormat="1">
      <c r="A22" s="14"/>
      <c r="F22" s="249"/>
      <c r="G22" s="17"/>
      <c r="H22" s="14"/>
      <c r="K22" s="17"/>
      <c r="O22" s="17"/>
      <c r="S22" s="17"/>
      <c r="W22" s="17"/>
      <c r="AA22" s="247"/>
      <c r="AB22" s="36"/>
    </row>
    <row r="23" spans="1:30" ht="15.75" thickBot="1">
      <c r="A23" s="46" t="s">
        <v>77</v>
      </c>
      <c r="B23" s="45" t="s">
        <v>24</v>
      </c>
      <c r="C23" s="45" t="s">
        <v>6</v>
      </c>
      <c r="D23" s="45" t="s">
        <v>7</v>
      </c>
      <c r="E23" s="47">
        <f>SUM(E24:E30)</f>
        <v>11530000</v>
      </c>
      <c r="F23" s="248"/>
      <c r="G23" s="44"/>
      <c r="H23" s="45"/>
      <c r="I23" s="45"/>
      <c r="J23" s="45"/>
      <c r="K23" s="44"/>
      <c r="L23" s="45"/>
      <c r="M23" s="45"/>
      <c r="N23" s="45"/>
      <c r="O23" s="44"/>
      <c r="P23" s="45"/>
      <c r="Q23" s="45"/>
      <c r="R23" s="45"/>
      <c r="S23" s="44"/>
      <c r="T23" s="45"/>
      <c r="U23" s="45"/>
      <c r="V23" s="45"/>
      <c r="W23" s="44"/>
      <c r="X23" s="45"/>
      <c r="Y23" s="45"/>
      <c r="Z23" s="45"/>
      <c r="AA23" s="247"/>
      <c r="AB23" s="36"/>
    </row>
    <row r="24" spans="1:30" s="15" customFormat="1" ht="15.75" thickTop="1">
      <c r="A24" s="32" t="s">
        <v>78</v>
      </c>
      <c r="B24" s="14"/>
      <c r="C24" s="14"/>
      <c r="D24" s="14"/>
      <c r="E24" s="33">
        <v>585000</v>
      </c>
      <c r="F24" s="250"/>
      <c r="G24" s="17"/>
      <c r="H24" s="14"/>
      <c r="I24" s="14"/>
      <c r="J24" s="14"/>
      <c r="K24" s="17"/>
      <c r="L24" s="14"/>
      <c r="M24" s="14"/>
      <c r="N24" s="14"/>
      <c r="O24" s="34">
        <f>($E$24/2)</f>
        <v>292500</v>
      </c>
      <c r="P24" s="37">
        <f>($E$24/2)</f>
        <v>292500</v>
      </c>
      <c r="Q24" s="14"/>
      <c r="R24" s="14"/>
      <c r="S24" s="17"/>
      <c r="T24" s="14"/>
      <c r="U24" s="14"/>
      <c r="V24" s="14"/>
      <c r="W24" s="17"/>
      <c r="X24" s="14"/>
      <c r="Y24" s="14"/>
      <c r="Z24" s="14"/>
      <c r="AA24" s="247">
        <f t="shared" si="0"/>
        <v>585000</v>
      </c>
      <c r="AB24" s="36"/>
    </row>
    <row r="25" spans="1:30" s="15" customFormat="1">
      <c r="A25" s="14" t="s">
        <v>79</v>
      </c>
      <c r="B25" s="14"/>
      <c r="C25" s="14"/>
      <c r="D25" s="14"/>
      <c r="E25" s="33">
        <v>2160000</v>
      </c>
      <c r="F25" s="250"/>
      <c r="G25" s="17"/>
      <c r="H25" s="14"/>
      <c r="I25" s="14"/>
      <c r="J25" s="14"/>
      <c r="K25" s="17"/>
      <c r="L25" s="14"/>
      <c r="M25" s="14"/>
      <c r="N25" s="14"/>
      <c r="O25" s="17"/>
      <c r="P25" s="14"/>
      <c r="Q25" s="37">
        <f>($E$25/4)</f>
        <v>540000</v>
      </c>
      <c r="R25" s="37">
        <f>($E$25/4)</f>
        <v>540000</v>
      </c>
      <c r="S25" s="34">
        <f>($E$25/4)</f>
        <v>540000</v>
      </c>
      <c r="T25" s="37">
        <f>($E$25/4)</f>
        <v>540000</v>
      </c>
      <c r="U25" s="37"/>
      <c r="V25" s="37"/>
      <c r="W25" s="34"/>
      <c r="X25" s="37"/>
      <c r="Y25" s="37"/>
      <c r="Z25" s="14"/>
      <c r="AA25" s="247">
        <f t="shared" si="0"/>
        <v>2160000</v>
      </c>
      <c r="AB25" s="37"/>
      <c r="AC25" s="14"/>
      <c r="AD25" s="14"/>
    </row>
    <row r="26" spans="1:30" s="15" customFormat="1">
      <c r="A26" s="32" t="s">
        <v>80</v>
      </c>
      <c r="E26" s="33">
        <v>810000</v>
      </c>
      <c r="F26" s="249"/>
      <c r="G26" s="17"/>
      <c r="H26" s="14"/>
      <c r="K26" s="17"/>
      <c r="O26" s="17"/>
      <c r="Q26" s="36"/>
      <c r="R26" s="36">
        <f>($E$26/12)*2</f>
        <v>135000</v>
      </c>
      <c r="S26" s="34">
        <f>($E$26/12)*3</f>
        <v>202500</v>
      </c>
      <c r="T26" s="36">
        <f>($E$26/12)*3</f>
        <v>202500</v>
      </c>
      <c r="U26" s="36">
        <f>($E$26/12)*3</f>
        <v>202500</v>
      </c>
      <c r="V26" s="36">
        <f>($E$26/12)*1</f>
        <v>67500</v>
      </c>
      <c r="W26" s="34"/>
      <c r="X26" s="36"/>
      <c r="Y26" s="36"/>
      <c r="AA26" s="247">
        <f t="shared" si="0"/>
        <v>810000</v>
      </c>
      <c r="AB26" s="36"/>
    </row>
    <row r="27" spans="1:30" s="15" customFormat="1">
      <c r="A27" s="32" t="s">
        <v>81</v>
      </c>
      <c r="E27" s="33">
        <v>5975000</v>
      </c>
      <c r="F27" s="249"/>
      <c r="G27" s="17"/>
      <c r="H27" s="14"/>
      <c r="K27" s="17"/>
      <c r="O27" s="17"/>
      <c r="Q27" s="36"/>
      <c r="R27" s="36"/>
      <c r="S27" s="34"/>
      <c r="T27" s="36"/>
      <c r="U27" s="36">
        <f>($E$27/12)*1</f>
        <v>497916.66666666669</v>
      </c>
      <c r="V27" s="36">
        <f>($E$27/12)*3</f>
        <v>1493750</v>
      </c>
      <c r="W27" s="34">
        <f>($E$27/12)*3</f>
        <v>1493750</v>
      </c>
      <c r="X27" s="36">
        <f>($E$27/12)*3</f>
        <v>1493750</v>
      </c>
      <c r="Y27" s="36">
        <f>($E$27/12)*2</f>
        <v>995833.33333333337</v>
      </c>
      <c r="AA27" s="247">
        <f t="shared" si="0"/>
        <v>5975000</v>
      </c>
      <c r="AB27" s="36"/>
    </row>
    <row r="28" spans="1:30" s="15" customFormat="1">
      <c r="A28" s="32" t="s">
        <v>200</v>
      </c>
      <c r="E28" s="33">
        <v>1085000</v>
      </c>
      <c r="F28" s="249"/>
      <c r="G28" s="17"/>
      <c r="H28" s="14"/>
      <c r="K28" s="17"/>
      <c r="O28" s="251">
        <f>$E$28/11</f>
        <v>98636.363636363632</v>
      </c>
      <c r="P28" s="36">
        <f t="shared" ref="P28:Y28" si="3">$E$28/11</f>
        <v>98636.363636363632</v>
      </c>
      <c r="Q28" s="36">
        <f t="shared" si="3"/>
        <v>98636.363636363632</v>
      </c>
      <c r="R28" s="36">
        <f t="shared" si="3"/>
        <v>98636.363636363632</v>
      </c>
      <c r="S28" s="34">
        <f t="shared" si="3"/>
        <v>98636.363636363632</v>
      </c>
      <c r="T28" s="36">
        <f t="shared" si="3"/>
        <v>98636.363636363632</v>
      </c>
      <c r="U28" s="36">
        <f t="shared" si="3"/>
        <v>98636.363636363632</v>
      </c>
      <c r="V28" s="36">
        <f t="shared" si="3"/>
        <v>98636.363636363632</v>
      </c>
      <c r="W28" s="34">
        <f t="shared" si="3"/>
        <v>98636.363636363632</v>
      </c>
      <c r="X28" s="36">
        <f t="shared" si="3"/>
        <v>98636.363636363632</v>
      </c>
      <c r="Y28" s="36">
        <f t="shared" si="3"/>
        <v>98636.363636363632</v>
      </c>
      <c r="AA28" s="247">
        <f t="shared" si="0"/>
        <v>1085000</v>
      </c>
      <c r="AB28" s="36"/>
    </row>
    <row r="29" spans="1:30">
      <c r="A29" t="s">
        <v>82</v>
      </c>
      <c r="B29" s="15"/>
      <c r="C29" s="15"/>
      <c r="D29" s="15"/>
      <c r="E29" s="33">
        <v>915000</v>
      </c>
      <c r="F29" s="246"/>
      <c r="G29" s="6"/>
      <c r="K29" s="6"/>
      <c r="O29" s="17"/>
      <c r="P29" s="15"/>
      <c r="Q29" s="36"/>
      <c r="R29" s="36"/>
      <c r="S29" s="34"/>
      <c r="T29" s="36"/>
      <c r="U29" s="36"/>
      <c r="V29" s="36"/>
      <c r="W29" s="34">
        <f>($E$29/8)*2</f>
        <v>228750</v>
      </c>
      <c r="X29" s="36">
        <f>($E$29/8)*3</f>
        <v>343125</v>
      </c>
      <c r="Y29" s="36">
        <f>($E$29/8)*3</f>
        <v>343125</v>
      </c>
      <c r="AA29" s="247">
        <f t="shared" si="0"/>
        <v>915000</v>
      </c>
      <c r="AB29" s="36"/>
    </row>
    <row r="30" spans="1:30">
      <c r="E30" s="21"/>
      <c r="F30" s="246"/>
      <c r="G30" s="39"/>
      <c r="K30" s="6"/>
      <c r="O30" s="17"/>
      <c r="P30" s="15"/>
      <c r="Q30" s="15"/>
      <c r="R30" s="15"/>
      <c r="S30" s="17"/>
      <c r="T30" s="15"/>
      <c r="U30" s="15"/>
      <c r="V30" s="15"/>
      <c r="W30" s="17"/>
      <c r="X30" s="15"/>
      <c r="Y30" s="15"/>
      <c r="AA30" s="247"/>
      <c r="AB30" s="36"/>
    </row>
    <row r="31" spans="1:30" ht="15.75" thickBot="1">
      <c r="A31" s="46" t="s">
        <v>83</v>
      </c>
      <c r="B31" s="45" t="s">
        <v>24</v>
      </c>
      <c r="C31" s="45" t="s">
        <v>6</v>
      </c>
      <c r="D31" s="45"/>
      <c r="E31" s="47">
        <f>SUM(E32)</f>
        <v>500000</v>
      </c>
      <c r="F31" s="248"/>
      <c r="G31" s="44"/>
      <c r="H31" s="45"/>
      <c r="I31" s="45"/>
      <c r="J31" s="45"/>
      <c r="K31" s="44"/>
      <c r="L31" s="45"/>
      <c r="M31" s="45"/>
      <c r="N31" s="45"/>
      <c r="O31" s="44"/>
      <c r="P31" s="45"/>
      <c r="Q31" s="45"/>
      <c r="R31" s="45"/>
      <c r="S31" s="44"/>
      <c r="T31" s="45"/>
      <c r="U31" s="45"/>
      <c r="V31" s="45"/>
      <c r="W31" s="44"/>
      <c r="X31" s="45"/>
      <c r="Y31" s="45"/>
      <c r="Z31" s="45"/>
      <c r="AA31" s="247"/>
      <c r="AB31" s="36"/>
    </row>
    <row r="32" spans="1:30" s="15" customFormat="1" ht="15.75" thickTop="1">
      <c r="A32" s="32" t="s">
        <v>84</v>
      </c>
      <c r="E32" s="33">
        <v>500000</v>
      </c>
      <c r="F32" s="249"/>
      <c r="G32" s="17"/>
      <c r="H32" s="14"/>
      <c r="K32" s="17"/>
      <c r="O32" s="17"/>
      <c r="S32" s="17"/>
      <c r="W32" s="17"/>
      <c r="X32" s="36">
        <f>($E$32/2)</f>
        <v>250000</v>
      </c>
      <c r="Y32" s="36">
        <f>($E$32/2)</f>
        <v>250000</v>
      </c>
      <c r="AA32" s="247">
        <f t="shared" si="0"/>
        <v>500000</v>
      </c>
      <c r="AB32" s="36"/>
    </row>
    <row r="33" spans="1:27">
      <c r="A33" s="156"/>
      <c r="B33" s="156"/>
      <c r="C33" s="156"/>
      <c r="D33" s="156"/>
      <c r="E33" s="156"/>
      <c r="F33" s="249"/>
      <c r="G33" s="186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2"/>
      <c r="AA33" s="247"/>
    </row>
    <row r="34" spans="1:27">
      <c r="E34" s="15"/>
      <c r="F34" s="15"/>
      <c r="AA34" s="247"/>
    </row>
    <row r="35" spans="1:27">
      <c r="A35" t="s">
        <v>20</v>
      </c>
      <c r="E35" s="252">
        <f>E8+E13+E20+E23+E31</f>
        <v>15555000</v>
      </c>
      <c r="F35" s="15"/>
      <c r="G35" s="99">
        <f t="shared" ref="G35:Y35" si="4">SUM(G5:G32)</f>
        <v>0</v>
      </c>
      <c r="H35" s="99">
        <f t="shared" si="4"/>
        <v>0</v>
      </c>
      <c r="I35" s="99">
        <f t="shared" si="4"/>
        <v>105000</v>
      </c>
      <c r="J35" s="99">
        <f t="shared" si="4"/>
        <v>105000</v>
      </c>
      <c r="K35" s="99">
        <f t="shared" si="4"/>
        <v>412833.33333333337</v>
      </c>
      <c r="L35" s="99">
        <f t="shared" si="4"/>
        <v>412833.33333333337</v>
      </c>
      <c r="M35" s="99">
        <f t="shared" si="4"/>
        <v>412833.33333333337</v>
      </c>
      <c r="N35" s="99">
        <f t="shared" si="4"/>
        <v>912833.33333333337</v>
      </c>
      <c r="O35" s="99">
        <f t="shared" si="4"/>
        <v>496924.24242424243</v>
      </c>
      <c r="P35" s="99">
        <f t="shared" si="4"/>
        <v>496924.24242424243</v>
      </c>
      <c r="Q35" s="99">
        <f t="shared" si="4"/>
        <v>744424.24242424243</v>
      </c>
      <c r="R35" s="99">
        <f t="shared" si="4"/>
        <v>879424.24242424243</v>
      </c>
      <c r="S35" s="99">
        <f t="shared" si="4"/>
        <v>946924.24242424243</v>
      </c>
      <c r="T35" s="99">
        <f t="shared" si="4"/>
        <v>946924.24242424243</v>
      </c>
      <c r="U35" s="99">
        <f t="shared" si="4"/>
        <v>904840.90909090906</v>
      </c>
      <c r="V35" s="99">
        <f t="shared" si="4"/>
        <v>1765674.2424242424</v>
      </c>
      <c r="W35" s="99">
        <f t="shared" si="4"/>
        <v>1926924.2424242424</v>
      </c>
      <c r="X35" s="99">
        <f t="shared" si="4"/>
        <v>2291299.2424242422</v>
      </c>
      <c r="Y35" s="99">
        <f t="shared" si="4"/>
        <v>1793382.5757575757</v>
      </c>
      <c r="AA35" s="247">
        <f>SUM(G35:Z35)</f>
        <v>15555000</v>
      </c>
    </row>
    <row r="36" spans="1:27">
      <c r="F36" s="15"/>
      <c r="L36" s="10">
        <f>SUM(I35:L35)</f>
        <v>1035666.6666666667</v>
      </c>
      <c r="P36" s="10">
        <f>SUM(M35:P35)</f>
        <v>2319515.1515151514</v>
      </c>
      <c r="T36" s="10">
        <f>SUM(Q35:T35)</f>
        <v>3517696.9696969697</v>
      </c>
      <c r="X36" s="10">
        <f>SUM(U35:X35)</f>
        <v>6888738.6363636358</v>
      </c>
    </row>
    <row r="37" spans="1:27">
      <c r="A37" t="s">
        <v>12</v>
      </c>
      <c r="E37" s="10">
        <f>E35-E39</f>
        <v>10444000</v>
      </c>
      <c r="F37" s="86">
        <f>E37/E35</f>
        <v>0.67142397942783671</v>
      </c>
    </row>
    <row r="39" spans="1:27">
      <c r="A39" t="s">
        <v>130</v>
      </c>
      <c r="E39" s="10">
        <v>5111000</v>
      </c>
      <c r="F39" s="86">
        <f>E39/E35</f>
        <v>0.32857602057216329</v>
      </c>
    </row>
    <row r="40" spans="1:27">
      <c r="E40" s="10"/>
      <c r="F40" s="86"/>
    </row>
    <row r="41" spans="1:27">
      <c r="E41" s="10"/>
      <c r="F41" s="86"/>
    </row>
  </sheetData>
  <mergeCells count="9">
    <mergeCell ref="I1:L1"/>
    <mergeCell ref="M1:P1"/>
    <mergeCell ref="Q1:T1"/>
    <mergeCell ref="U1:X1"/>
    <mergeCell ref="G2:J2"/>
    <mergeCell ref="K2:N2"/>
    <mergeCell ref="O2:R2"/>
    <mergeCell ref="S2:V2"/>
    <mergeCell ref="W2:Z2"/>
  </mergeCells>
  <pageMargins left="0.28000000000000003" right="0.16" top="0.75" bottom="0.75" header="0.3" footer="0.3"/>
  <pageSetup paperSize="5" scale="4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39"/>
  <sheetViews>
    <sheetView zoomScale="75" zoomScaleNormal="75" workbookViewId="0">
      <selection activeCell="L33" sqref="L33"/>
    </sheetView>
  </sheetViews>
  <sheetFormatPr defaultRowHeight="15"/>
  <cols>
    <col min="1" max="1" width="46.140625" customWidth="1"/>
    <col min="2" max="4" width="13.42578125" customWidth="1"/>
    <col min="5" max="5" width="14.42578125" customWidth="1"/>
    <col min="6" max="6" width="15.28515625" customWidth="1"/>
    <col min="7" max="13" width="11.7109375" customWidth="1"/>
    <col min="14" max="14" width="9.85546875" bestFit="1" customWidth="1"/>
    <col min="15" max="15" width="12" customWidth="1"/>
    <col min="19" max="19" width="10.42578125" customWidth="1"/>
    <col min="24" max="24" width="9.85546875" customWidth="1"/>
    <col min="29" max="29" width="10.28515625" customWidth="1"/>
  </cols>
  <sheetData>
    <row r="1" spans="1:18">
      <c r="A1" t="s">
        <v>152</v>
      </c>
      <c r="I1" s="269" t="s">
        <v>138</v>
      </c>
      <c r="J1" s="270"/>
      <c r="K1" s="270"/>
      <c r="L1" s="271"/>
    </row>
    <row r="2" spans="1:18">
      <c r="G2" s="265" t="s">
        <v>9</v>
      </c>
      <c r="H2" s="266"/>
      <c r="I2" s="266"/>
      <c r="J2" s="266"/>
      <c r="K2" s="265" t="s">
        <v>10</v>
      </c>
      <c r="L2" s="267"/>
      <c r="M2" s="267"/>
      <c r="N2" s="268"/>
      <c r="O2" s="94"/>
      <c r="P2" s="93"/>
      <c r="Q2" s="93"/>
      <c r="R2" s="93"/>
    </row>
    <row r="3" spans="1:18">
      <c r="G3" s="22" t="s">
        <v>14</v>
      </c>
      <c r="H3" s="11" t="s">
        <v>15</v>
      </c>
      <c r="I3" s="23" t="s">
        <v>16</v>
      </c>
      <c r="J3" s="23" t="s">
        <v>17</v>
      </c>
      <c r="K3" s="91" t="s">
        <v>14</v>
      </c>
      <c r="L3" s="11" t="s">
        <v>15</v>
      </c>
      <c r="M3" s="11" t="s">
        <v>16</v>
      </c>
      <c r="N3" s="92" t="s">
        <v>17</v>
      </c>
    </row>
    <row r="4" spans="1:18" ht="15.75" thickBot="1">
      <c r="A4" s="13" t="s">
        <v>5</v>
      </c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7"/>
      <c r="H4" s="1"/>
      <c r="I4" s="1"/>
      <c r="J4" s="1"/>
      <c r="K4" s="7"/>
      <c r="L4" s="1"/>
      <c r="M4" s="1"/>
      <c r="N4" s="95"/>
    </row>
    <row r="5" spans="1:18" ht="15.75" thickTop="1">
      <c r="A5" s="14" t="s">
        <v>54</v>
      </c>
      <c r="B5" s="15"/>
      <c r="C5" s="15"/>
      <c r="D5" s="15"/>
      <c r="E5" s="15"/>
      <c r="G5" s="6"/>
      <c r="H5" s="3"/>
      <c r="K5" s="6"/>
      <c r="L5" s="3"/>
      <c r="M5" s="3"/>
      <c r="N5" s="49"/>
    </row>
    <row r="6" spans="1:18">
      <c r="A6" s="14"/>
      <c r="B6" s="15"/>
      <c r="C6" s="15"/>
      <c r="D6" s="15"/>
      <c r="E6" s="15"/>
      <c r="G6" s="6"/>
      <c r="H6" s="3"/>
      <c r="K6" s="6"/>
      <c r="L6" s="3"/>
      <c r="M6" s="3"/>
      <c r="N6" s="49"/>
    </row>
    <row r="7" spans="1:18" ht="15.75" thickBot="1">
      <c r="A7" s="2" t="s">
        <v>56</v>
      </c>
      <c r="B7" s="1"/>
      <c r="C7" s="1"/>
      <c r="D7" s="1"/>
      <c r="E7" s="5">
        <f>SUM(E9:E24)</f>
        <v>555965</v>
      </c>
      <c r="F7" s="78" t="s">
        <v>51</v>
      </c>
      <c r="G7" s="7"/>
      <c r="H7" s="1"/>
      <c r="I7" s="1"/>
      <c r="J7" s="1"/>
      <c r="K7" s="7"/>
      <c r="L7" s="1"/>
      <c r="M7" s="1"/>
      <c r="N7" s="95"/>
      <c r="O7" s="121" t="s">
        <v>167</v>
      </c>
    </row>
    <row r="8" spans="1:18" ht="15.75" thickTop="1">
      <c r="A8" s="15"/>
      <c r="B8" s="15"/>
      <c r="C8" s="15"/>
      <c r="D8" s="15"/>
      <c r="E8" s="15"/>
      <c r="F8" s="79"/>
      <c r="G8" s="6"/>
      <c r="H8" s="3"/>
      <c r="J8" s="96"/>
      <c r="K8" s="3"/>
      <c r="L8" s="3"/>
      <c r="M8" s="3"/>
      <c r="N8" s="49"/>
    </row>
    <row r="9" spans="1:18">
      <c r="A9" s="120" t="s">
        <v>57</v>
      </c>
      <c r="B9" s="15"/>
      <c r="C9" s="15"/>
      <c r="D9" s="15"/>
      <c r="E9" s="25">
        <v>70965</v>
      </c>
      <c r="F9" s="81">
        <f>E9*0.7</f>
        <v>49675.5</v>
      </c>
      <c r="G9" s="6"/>
      <c r="H9" s="3"/>
      <c r="I9" s="15"/>
      <c r="J9" s="97"/>
      <c r="K9" s="27">
        <f>E9/2</f>
        <v>35482.5</v>
      </c>
      <c r="L9" s="27">
        <f>K9</f>
        <v>35482.5</v>
      </c>
      <c r="M9" s="14"/>
      <c r="N9" s="49"/>
      <c r="O9" s="31">
        <f t="shared" ref="O9:O24" si="0">SUM(G9:M9)</f>
        <v>70965</v>
      </c>
    </row>
    <row r="10" spans="1:18">
      <c r="A10" s="74"/>
      <c r="B10" s="15"/>
      <c r="C10" s="15"/>
      <c r="D10" s="15"/>
      <c r="E10" s="15"/>
      <c r="F10" s="81"/>
      <c r="G10" s="6"/>
      <c r="H10" s="3"/>
      <c r="I10" s="15"/>
      <c r="J10" s="97"/>
      <c r="K10" s="14"/>
      <c r="L10" s="14"/>
      <c r="M10" s="14"/>
      <c r="N10" s="49"/>
      <c r="O10" s="31"/>
    </row>
    <row r="11" spans="1:18">
      <c r="A11" s="15" t="s">
        <v>58</v>
      </c>
      <c r="B11" s="15"/>
      <c r="C11" s="15"/>
      <c r="D11" s="15"/>
      <c r="E11" s="15"/>
      <c r="F11" s="81"/>
      <c r="G11" s="6"/>
      <c r="H11" s="3"/>
      <c r="I11" s="15"/>
      <c r="J11" s="97"/>
      <c r="K11" s="14"/>
      <c r="L11" s="14"/>
      <c r="M11" s="14"/>
      <c r="N11" s="49"/>
      <c r="O11" s="31"/>
    </row>
    <row r="12" spans="1:18">
      <c r="A12" s="75" t="s">
        <v>59</v>
      </c>
      <c r="B12" s="15"/>
      <c r="C12" s="15"/>
      <c r="D12" s="15"/>
      <c r="E12" s="25">
        <v>270000</v>
      </c>
      <c r="F12" s="81">
        <f>E12*0.7</f>
        <v>189000</v>
      </c>
      <c r="G12" s="6"/>
      <c r="H12" s="3"/>
      <c r="I12" s="25">
        <v>50000</v>
      </c>
      <c r="J12" s="98">
        <v>50000</v>
      </c>
      <c r="K12" s="27">
        <v>100000</v>
      </c>
      <c r="L12" s="27">
        <v>70000</v>
      </c>
      <c r="M12" s="14"/>
      <c r="N12" s="49"/>
      <c r="O12" s="31">
        <f t="shared" si="0"/>
        <v>270000</v>
      </c>
    </row>
    <row r="13" spans="1:18">
      <c r="A13" s="75"/>
      <c r="B13" s="15"/>
      <c r="C13" s="15"/>
      <c r="D13" s="15"/>
      <c r="E13" s="25"/>
      <c r="F13" s="81"/>
      <c r="G13" s="6"/>
      <c r="H13" s="3"/>
      <c r="I13" s="15"/>
      <c r="J13" s="97"/>
      <c r="K13" s="14"/>
      <c r="L13" s="14"/>
      <c r="M13" s="14"/>
      <c r="N13" s="49"/>
      <c r="O13" s="31"/>
    </row>
    <row r="14" spans="1:18">
      <c r="A14" s="15" t="s">
        <v>60</v>
      </c>
      <c r="B14" s="15"/>
      <c r="C14" s="15"/>
      <c r="D14" s="15"/>
      <c r="E14" s="25">
        <v>140000</v>
      </c>
      <c r="F14" s="81">
        <f>E14*0.7</f>
        <v>98000</v>
      </c>
      <c r="G14" s="6"/>
      <c r="H14" s="3"/>
      <c r="I14" s="15"/>
      <c r="J14" s="98">
        <v>20000</v>
      </c>
      <c r="K14" s="27">
        <v>40000</v>
      </c>
      <c r="L14" s="27">
        <v>40000</v>
      </c>
      <c r="M14" s="27">
        <v>40000</v>
      </c>
      <c r="N14" s="49"/>
      <c r="O14" s="31">
        <f t="shared" si="0"/>
        <v>140000</v>
      </c>
    </row>
    <row r="15" spans="1:18">
      <c r="A15" s="15"/>
      <c r="B15" s="15"/>
      <c r="C15" s="15"/>
      <c r="D15" s="15"/>
      <c r="E15" s="15"/>
      <c r="F15" s="81"/>
      <c r="G15" s="6"/>
      <c r="H15" s="3"/>
      <c r="I15" s="15"/>
      <c r="J15" s="97"/>
      <c r="K15" s="14"/>
      <c r="L15" s="14"/>
      <c r="M15" s="14"/>
      <c r="N15" s="49"/>
      <c r="O15" s="31"/>
    </row>
    <row r="16" spans="1:18">
      <c r="A16" s="15" t="s">
        <v>157</v>
      </c>
      <c r="B16" s="15"/>
      <c r="C16" s="15"/>
      <c r="D16" s="15"/>
      <c r="E16" s="25">
        <v>15000</v>
      </c>
      <c r="F16" s="81">
        <f>E16*0.7</f>
        <v>10500</v>
      </c>
      <c r="G16" s="6"/>
      <c r="H16" s="3"/>
      <c r="I16" s="15"/>
      <c r="J16" s="97"/>
      <c r="K16" s="27">
        <v>15000</v>
      </c>
      <c r="L16" s="14"/>
      <c r="M16" s="14"/>
      <c r="N16" s="49"/>
      <c r="O16" s="31">
        <f t="shared" si="0"/>
        <v>15000</v>
      </c>
    </row>
    <row r="17" spans="1:15">
      <c r="A17" s="15"/>
      <c r="B17" s="15"/>
      <c r="C17" s="15"/>
      <c r="D17" s="15"/>
      <c r="E17" s="25"/>
      <c r="F17" s="81"/>
      <c r="G17" s="6"/>
      <c r="H17" s="3"/>
      <c r="I17" s="15"/>
      <c r="J17" s="97"/>
      <c r="K17" s="27"/>
      <c r="L17" s="14"/>
      <c r="M17" s="14"/>
      <c r="N17" s="49"/>
      <c r="O17" s="31"/>
    </row>
    <row r="18" spans="1:15">
      <c r="A18" s="15" t="s">
        <v>156</v>
      </c>
      <c r="B18" s="15" t="s">
        <v>61</v>
      </c>
      <c r="C18" s="15"/>
      <c r="D18" s="15"/>
      <c r="E18" s="25">
        <v>15000</v>
      </c>
      <c r="F18" s="81">
        <f>E18*0.7</f>
        <v>10500</v>
      </c>
      <c r="G18" s="6"/>
      <c r="H18" s="3"/>
      <c r="I18" s="15"/>
      <c r="J18" s="97"/>
      <c r="K18" s="27">
        <v>15000</v>
      </c>
      <c r="L18" s="14"/>
      <c r="M18" s="14"/>
      <c r="N18" s="49"/>
      <c r="O18" s="31">
        <f t="shared" si="0"/>
        <v>15000</v>
      </c>
    </row>
    <row r="19" spans="1:15">
      <c r="A19" s="75"/>
      <c r="B19" s="15"/>
      <c r="C19" s="15"/>
      <c r="D19" s="15"/>
      <c r="E19" s="25"/>
      <c r="F19" s="81"/>
      <c r="G19" s="6"/>
      <c r="H19" s="3"/>
      <c r="I19" s="15"/>
      <c r="J19" s="15"/>
      <c r="K19" s="17"/>
      <c r="L19" s="14"/>
      <c r="M19" s="14"/>
      <c r="N19" s="49"/>
      <c r="O19" s="31"/>
    </row>
    <row r="20" spans="1:15">
      <c r="A20" s="120" t="s">
        <v>62</v>
      </c>
      <c r="B20" s="15"/>
      <c r="C20" s="15"/>
      <c r="D20" s="15"/>
      <c r="E20" s="25">
        <v>15000</v>
      </c>
      <c r="F20" s="81">
        <f>E20*0.7</f>
        <v>10500</v>
      </c>
      <c r="G20" s="6"/>
      <c r="H20" s="3"/>
      <c r="I20" s="15"/>
      <c r="J20" s="15"/>
      <c r="K20" s="26">
        <v>15000</v>
      </c>
      <c r="L20" s="14"/>
      <c r="M20" s="14"/>
      <c r="N20" s="49"/>
      <c r="O20" s="31">
        <f t="shared" si="0"/>
        <v>15000</v>
      </c>
    </row>
    <row r="21" spans="1:15">
      <c r="A21" s="15"/>
      <c r="B21" s="15"/>
      <c r="C21" s="15"/>
      <c r="D21" s="15"/>
      <c r="E21" s="15"/>
      <c r="F21" s="81"/>
      <c r="G21" s="6"/>
      <c r="H21" s="3"/>
      <c r="I21" s="15"/>
      <c r="J21" s="15"/>
      <c r="K21" s="17"/>
      <c r="L21" s="14"/>
      <c r="M21" s="14"/>
      <c r="N21" s="49"/>
      <c r="O21" s="31"/>
    </row>
    <row r="22" spans="1:15">
      <c r="A22" s="15" t="s">
        <v>155</v>
      </c>
      <c r="B22" s="15"/>
      <c r="C22" s="15"/>
      <c r="D22" s="15"/>
      <c r="E22" s="25">
        <v>15000</v>
      </c>
      <c r="F22" s="81">
        <f>E22*0.7</f>
        <v>10500</v>
      </c>
      <c r="G22" s="6"/>
      <c r="H22" s="3"/>
      <c r="I22" s="15"/>
      <c r="J22" s="15"/>
      <c r="K22" s="26">
        <v>15000</v>
      </c>
      <c r="L22" s="14"/>
      <c r="M22" s="14"/>
      <c r="N22" s="49"/>
      <c r="O22" s="31">
        <f t="shared" si="0"/>
        <v>15000</v>
      </c>
    </row>
    <row r="23" spans="1:15">
      <c r="A23" s="75"/>
      <c r="B23" s="15"/>
      <c r="C23" s="15"/>
      <c r="D23" s="15"/>
      <c r="E23" s="25"/>
      <c r="F23" s="81"/>
      <c r="G23" s="6"/>
      <c r="H23" s="3"/>
      <c r="I23" s="15"/>
      <c r="J23" s="15"/>
      <c r="K23" s="17"/>
      <c r="L23" s="14"/>
      <c r="M23" s="14"/>
      <c r="N23" s="49"/>
      <c r="O23" s="31"/>
    </row>
    <row r="24" spans="1:15">
      <c r="A24" s="120" t="s">
        <v>63</v>
      </c>
      <c r="B24" s="15"/>
      <c r="C24" s="15"/>
      <c r="D24" s="15"/>
      <c r="E24" s="25">
        <v>15000</v>
      </c>
      <c r="F24" s="81">
        <f>E24*0.7</f>
        <v>10500</v>
      </c>
      <c r="G24" s="6"/>
      <c r="H24" s="3"/>
      <c r="K24" s="6">
        <v>15000</v>
      </c>
      <c r="L24" s="3"/>
      <c r="M24" s="3"/>
      <c r="N24" s="49"/>
      <c r="O24" s="31">
        <f t="shared" si="0"/>
        <v>15000</v>
      </c>
    </row>
    <row r="25" spans="1:15">
      <c r="A25" s="156"/>
      <c r="B25" s="156"/>
      <c r="C25" s="156"/>
      <c r="D25" s="156"/>
      <c r="E25" s="156"/>
      <c r="F25" s="81"/>
      <c r="G25" s="39"/>
      <c r="H25" s="187"/>
      <c r="I25" s="187"/>
      <c r="J25" s="192"/>
      <c r="K25" s="39"/>
      <c r="L25" s="192"/>
      <c r="M25" s="192"/>
      <c r="N25" s="193"/>
      <c r="O25" s="31"/>
    </row>
    <row r="26" spans="1:15">
      <c r="A26" s="32"/>
      <c r="B26" s="32"/>
      <c r="C26" s="32"/>
      <c r="D26" s="32"/>
      <c r="E26" s="32"/>
      <c r="F26" s="81"/>
      <c r="G26" s="260"/>
      <c r="H26" s="260"/>
      <c r="I26" s="260"/>
      <c r="J26" s="260"/>
      <c r="K26" s="260"/>
      <c r="L26" s="260"/>
      <c r="M26" s="260"/>
      <c r="N26" s="260"/>
      <c r="O26" s="31"/>
    </row>
    <row r="27" spans="1:15" s="15" customFormat="1">
      <c r="A27" s="15" t="s">
        <v>158</v>
      </c>
      <c r="E27" s="21">
        <f>E7</f>
        <v>555965</v>
      </c>
      <c r="F27" s="81">
        <f>E27*0.7</f>
        <v>389175.5</v>
      </c>
      <c r="G27" s="3"/>
      <c r="H27" s="14"/>
      <c r="I27" s="14"/>
      <c r="J27" s="3"/>
      <c r="K27" s="3"/>
      <c r="L27" s="3"/>
      <c r="M27" s="3"/>
      <c r="N27" s="3"/>
      <c r="O27" s="31"/>
    </row>
    <row r="28" spans="1:15" s="15" customFormat="1">
      <c r="E28" s="21"/>
      <c r="F28" s="81"/>
      <c r="G28" s="3"/>
    </row>
    <row r="29" spans="1:15">
      <c r="A29" s="15" t="s">
        <v>122</v>
      </c>
      <c r="B29" s="15"/>
      <c r="C29" s="15"/>
      <c r="D29" s="15"/>
      <c r="E29" s="21">
        <f>E27*0.035</f>
        <v>19458.775000000001</v>
      </c>
      <c r="F29" s="81">
        <f>E29*0.7</f>
        <v>13621.1425</v>
      </c>
      <c r="G29" s="31"/>
      <c r="H29" s="31"/>
      <c r="I29" s="31">
        <f>SUM(I9:I24)*0.035</f>
        <v>1750.0000000000002</v>
      </c>
      <c r="J29" s="31">
        <f t="shared" ref="J29:M29" si="1">SUM(J9:J24)*0.035</f>
        <v>2450.0000000000005</v>
      </c>
      <c r="K29" s="31">
        <f t="shared" si="1"/>
        <v>8766.8875000000007</v>
      </c>
      <c r="L29" s="31">
        <f t="shared" si="1"/>
        <v>5091.8875000000007</v>
      </c>
      <c r="M29" s="31">
        <f t="shared" si="1"/>
        <v>1400.0000000000002</v>
      </c>
      <c r="O29" s="31">
        <f>SUM(G29:M29)</f>
        <v>19458.775000000001</v>
      </c>
    </row>
    <row r="30" spans="1:15">
      <c r="F30" s="25"/>
    </row>
    <row r="31" spans="1:15">
      <c r="A31" s="15" t="s">
        <v>159</v>
      </c>
      <c r="B31" s="15"/>
      <c r="C31" s="15"/>
      <c r="D31" s="15"/>
      <c r="E31" s="191">
        <f>E27+E29</f>
        <v>575423.77500000002</v>
      </c>
      <c r="F31" s="25">
        <f>F27+F29</f>
        <v>402796.64250000002</v>
      </c>
      <c r="G31" s="31"/>
      <c r="H31" s="31"/>
      <c r="I31" s="31">
        <f t="shared" ref="I31:M31" si="2">SUM(I9:I29)</f>
        <v>51750</v>
      </c>
      <c r="J31" s="31">
        <f t="shared" si="2"/>
        <v>72450</v>
      </c>
      <c r="K31" s="31">
        <f t="shared" si="2"/>
        <v>259249.38750000001</v>
      </c>
      <c r="L31" s="31">
        <f t="shared" si="2"/>
        <v>150574.38750000001</v>
      </c>
      <c r="M31" s="31">
        <f t="shared" si="2"/>
        <v>41400</v>
      </c>
      <c r="N31" s="31"/>
      <c r="O31" s="31">
        <f>SUM(G31:M31)</f>
        <v>575423.77500000002</v>
      </c>
    </row>
    <row r="32" spans="1:15">
      <c r="A32" s="15"/>
      <c r="B32" s="15"/>
      <c r="C32" s="15"/>
      <c r="D32" s="15"/>
      <c r="E32" s="21"/>
      <c r="F32" s="60"/>
      <c r="H32" s="25"/>
      <c r="I32" s="15"/>
      <c r="J32" s="15"/>
      <c r="K32" s="15"/>
      <c r="L32" s="25"/>
      <c r="M32" s="15"/>
      <c r="N32" s="25"/>
    </row>
    <row r="33" spans="1:29">
      <c r="A33" s="15" t="s">
        <v>124</v>
      </c>
      <c r="B33" s="15"/>
      <c r="C33" s="15"/>
      <c r="D33" s="15"/>
      <c r="E33" s="21">
        <f>F31</f>
        <v>402796.64250000002</v>
      </c>
      <c r="F33" s="60">
        <f>E33/E31</f>
        <v>0.7</v>
      </c>
      <c r="H33" s="15"/>
      <c r="I33" s="15"/>
      <c r="J33" s="15"/>
      <c r="K33" s="15"/>
      <c r="L33" s="25">
        <f>SUM(I31:L31)</f>
        <v>534023.77500000002</v>
      </c>
      <c r="M33" s="15"/>
      <c r="N33" s="15"/>
    </row>
    <row r="34" spans="1:29">
      <c r="A34" s="15"/>
      <c r="B34" s="15"/>
      <c r="C34" s="15"/>
      <c r="D34" s="15"/>
      <c r="E34" s="25"/>
    </row>
    <row r="35" spans="1:29">
      <c r="A35" s="15" t="s">
        <v>13</v>
      </c>
      <c r="B35" s="15"/>
      <c r="C35" s="15"/>
      <c r="D35" s="15"/>
      <c r="E35" s="21">
        <f>E31-E33</f>
        <v>172627.13250000001</v>
      </c>
      <c r="F35" s="60">
        <f>E35/E31</f>
        <v>0.3</v>
      </c>
    </row>
    <row r="36" spans="1:29">
      <c r="A36" s="15"/>
      <c r="B36" s="15"/>
      <c r="C36" s="15"/>
      <c r="D36" s="15"/>
      <c r="F36" s="60"/>
    </row>
    <row r="37" spans="1:29">
      <c r="F37" s="60"/>
    </row>
    <row r="38" spans="1:29">
      <c r="A38" s="20"/>
      <c r="B38" s="15"/>
      <c r="C38" s="15"/>
      <c r="D38" s="15"/>
      <c r="E38" s="21"/>
      <c r="F38" s="15"/>
      <c r="N38" s="10"/>
      <c r="S38" s="10">
        <f>$E38*6</f>
        <v>0</v>
      </c>
      <c r="X38" s="10">
        <f>$E38*6</f>
        <v>0</v>
      </c>
      <c r="AC38" s="10">
        <f>$E38*6</f>
        <v>0</v>
      </c>
    </row>
    <row r="39" spans="1:29">
      <c r="A39" s="20"/>
      <c r="B39" s="15"/>
      <c r="C39" s="15"/>
      <c r="D39" s="15"/>
      <c r="E39" s="21"/>
      <c r="F39" s="15"/>
      <c r="S39" s="10">
        <f>$E39*6</f>
        <v>0</v>
      </c>
      <c r="AC39" s="10">
        <f>$E39*6</f>
        <v>0</v>
      </c>
    </row>
  </sheetData>
  <mergeCells count="3">
    <mergeCell ref="I1:L1"/>
    <mergeCell ref="G2:J2"/>
    <mergeCell ref="K2: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C42"/>
  <sheetViews>
    <sheetView topLeftCell="C1" zoomScale="75" zoomScaleNormal="75" workbookViewId="0">
      <selection activeCell="M36" sqref="M36"/>
    </sheetView>
  </sheetViews>
  <sheetFormatPr defaultRowHeight="15"/>
  <cols>
    <col min="1" max="1" width="41" style="87" customWidth="1"/>
    <col min="2" max="2" width="12.5703125" style="87" bestFit="1" customWidth="1"/>
    <col min="3" max="3" width="11.28515625" style="87" customWidth="1"/>
    <col min="4" max="4" width="10.140625" style="87" customWidth="1"/>
    <col min="5" max="5" width="15.7109375" style="87" bestFit="1" customWidth="1"/>
    <col min="6" max="6" width="15.140625" style="87" customWidth="1"/>
    <col min="7" max="7" width="16.42578125" style="87" customWidth="1"/>
    <col min="8" max="8" width="13.7109375" style="87" customWidth="1"/>
    <col min="9" max="9" width="14.7109375" style="87" customWidth="1"/>
    <col min="10" max="11" width="13.7109375" style="87" customWidth="1"/>
    <col min="12" max="12" width="11.5703125" style="87" customWidth="1"/>
    <col min="13" max="13" width="13.85546875" style="87" customWidth="1"/>
    <col min="14" max="14" width="12.42578125" style="87" customWidth="1"/>
    <col min="15" max="15" width="13.28515625" style="87" customWidth="1"/>
    <col min="16" max="16" width="15.28515625" style="87" customWidth="1"/>
    <col min="17" max="17" width="6.28515625" style="87" customWidth="1"/>
    <col min="18" max="18" width="5.28515625" style="87" customWidth="1"/>
    <col min="19" max="20" width="6.140625" style="87" customWidth="1"/>
    <col min="21" max="21" width="5.140625" style="87" customWidth="1"/>
    <col min="22" max="22" width="6.140625" style="87" customWidth="1"/>
    <col min="23" max="23" width="5.5703125" style="87" customWidth="1"/>
    <col min="24" max="24" width="5.28515625" style="87" customWidth="1"/>
    <col min="25" max="25" width="5" style="87" customWidth="1"/>
    <col min="26" max="26" width="5.7109375" style="87" customWidth="1"/>
    <col min="27" max="27" width="6.42578125" style="87" customWidth="1"/>
    <col min="28" max="28" width="17.140625" style="87" customWidth="1"/>
    <col min="29" max="16384" width="9.140625" style="87"/>
  </cols>
  <sheetData>
    <row r="1" spans="1:29">
      <c r="A1" s="87" t="s">
        <v>152</v>
      </c>
      <c r="F1" s="284" t="s">
        <v>171</v>
      </c>
      <c r="G1" s="284"/>
      <c r="H1" s="284"/>
      <c r="I1" s="285"/>
      <c r="J1" s="279" t="s">
        <v>138</v>
      </c>
      <c r="K1" s="280"/>
      <c r="L1" s="280"/>
      <c r="M1" s="281"/>
      <c r="N1" s="282" t="s">
        <v>164</v>
      </c>
      <c r="O1" s="283"/>
      <c r="P1" s="283"/>
      <c r="Q1" s="283"/>
    </row>
    <row r="2" spans="1:29">
      <c r="H2" s="275" t="s">
        <v>9</v>
      </c>
      <c r="I2" s="276"/>
      <c r="J2" s="276"/>
      <c r="K2" s="276"/>
      <c r="L2" s="275" t="s">
        <v>10</v>
      </c>
      <c r="M2" s="277"/>
      <c r="N2" s="277"/>
      <c r="O2" s="278"/>
    </row>
    <row r="3" spans="1:29">
      <c r="H3" s="204" t="s">
        <v>14</v>
      </c>
      <c r="I3" s="206" t="s">
        <v>15</v>
      </c>
      <c r="J3" s="205" t="s">
        <v>16</v>
      </c>
      <c r="K3" s="205" t="s">
        <v>17</v>
      </c>
      <c r="L3" s="204" t="s">
        <v>14</v>
      </c>
      <c r="M3" s="206" t="s">
        <v>15</v>
      </c>
      <c r="N3" s="206" t="s">
        <v>16</v>
      </c>
      <c r="O3" s="207" t="s">
        <v>17</v>
      </c>
    </row>
    <row r="4" spans="1:29" ht="30.75" thickBot="1">
      <c r="A4" s="13" t="s">
        <v>86</v>
      </c>
      <c r="B4" s="179" t="s">
        <v>0</v>
      </c>
      <c r="C4" s="179" t="s">
        <v>1</v>
      </c>
      <c r="D4" s="179" t="s">
        <v>2</v>
      </c>
      <c r="E4" s="179" t="s">
        <v>3</v>
      </c>
      <c r="F4" s="175" t="s">
        <v>166</v>
      </c>
      <c r="G4" s="179" t="s">
        <v>4</v>
      </c>
      <c r="H4" s="130"/>
      <c r="I4" s="123"/>
      <c r="J4" s="123"/>
      <c r="K4" s="123"/>
      <c r="L4" s="130"/>
      <c r="M4" s="123"/>
      <c r="N4" s="123"/>
      <c r="O4" s="131"/>
    </row>
    <row r="5" spans="1:29" ht="15.75" thickTop="1">
      <c r="A5" s="87" t="s">
        <v>153</v>
      </c>
      <c r="E5" s="159"/>
      <c r="F5" s="138"/>
      <c r="G5" s="159"/>
      <c r="I5" s="165"/>
      <c r="J5" s="165"/>
      <c r="K5" s="165"/>
      <c r="L5" s="165"/>
      <c r="M5" s="165"/>
      <c r="N5" s="165"/>
      <c r="O5" s="165"/>
      <c r="P5" s="165"/>
      <c r="Q5" s="165"/>
      <c r="R5" s="165"/>
    </row>
    <row r="6" spans="1:29">
      <c r="A6" s="87" t="s">
        <v>197</v>
      </c>
      <c r="E6" s="159"/>
      <c r="F6" s="138"/>
      <c r="G6" s="159"/>
      <c r="I6" s="165"/>
      <c r="J6" s="165"/>
      <c r="K6" s="165"/>
      <c r="L6" s="165"/>
      <c r="M6" s="165"/>
      <c r="N6" s="165"/>
      <c r="O6" s="165"/>
      <c r="P6" s="165"/>
      <c r="Q6" s="165"/>
      <c r="R6" s="165"/>
    </row>
    <row r="7" spans="1:29">
      <c r="A7" s="229" t="s">
        <v>192</v>
      </c>
      <c r="B7" s="228"/>
      <c r="C7" s="228"/>
      <c r="D7" s="228"/>
      <c r="E7" s="230">
        <v>800000</v>
      </c>
      <c r="F7" s="138"/>
      <c r="G7" s="159"/>
      <c r="I7" s="165"/>
      <c r="J7" s="165"/>
      <c r="K7" s="165"/>
      <c r="L7" s="165"/>
      <c r="M7" s="165"/>
      <c r="N7" s="165"/>
      <c r="O7" s="165"/>
      <c r="P7" s="165"/>
    </row>
    <row r="8" spans="1:29">
      <c r="A8" s="229" t="s">
        <v>193</v>
      </c>
      <c r="B8" s="228"/>
      <c r="C8" s="228"/>
      <c r="D8" s="228"/>
      <c r="E8" s="242">
        <v>200000</v>
      </c>
      <c r="F8" s="138"/>
      <c r="G8" s="159"/>
      <c r="P8" s="210"/>
    </row>
    <row r="9" spans="1:29" ht="15.75" thickBot="1">
      <c r="A9" s="166" t="s">
        <v>33</v>
      </c>
      <c r="B9" s="211" t="s">
        <v>8</v>
      </c>
      <c r="C9" s="212" t="s">
        <v>6</v>
      </c>
      <c r="D9" s="212" t="s">
        <v>7</v>
      </c>
      <c r="E9" s="176">
        <f>SUM(E10:E24)</f>
        <v>1068600</v>
      </c>
      <c r="F9" s="176" t="s">
        <v>172</v>
      </c>
      <c r="G9" s="143"/>
      <c r="H9" s="168"/>
      <c r="I9" s="167"/>
      <c r="J9" s="167"/>
      <c r="K9" s="167"/>
      <c r="L9" s="168"/>
      <c r="M9" s="167"/>
      <c r="N9" s="167"/>
      <c r="O9" s="167"/>
      <c r="P9" s="210"/>
    </row>
    <row r="10" spans="1:29" s="124" customFormat="1" ht="15.75" thickTop="1">
      <c r="A10" s="226" t="s">
        <v>173</v>
      </c>
      <c r="B10" s="227" t="s">
        <v>174</v>
      </c>
      <c r="C10" s="228"/>
      <c r="D10" s="229"/>
      <c r="E10" s="230">
        <v>60000</v>
      </c>
      <c r="F10" s="231"/>
      <c r="G10" s="227" t="s">
        <v>175</v>
      </c>
      <c r="H10" s="232">
        <v>10000</v>
      </c>
      <c r="I10" s="230">
        <v>10000</v>
      </c>
      <c r="J10" s="230">
        <v>10000</v>
      </c>
      <c r="K10" s="230">
        <v>10000</v>
      </c>
      <c r="L10" s="232">
        <v>10000</v>
      </c>
      <c r="M10" s="230">
        <v>10000</v>
      </c>
      <c r="N10" s="228"/>
      <c r="O10" s="228"/>
      <c r="P10" s="210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</row>
    <row r="11" spans="1:29" s="124" customFormat="1">
      <c r="A11" s="226" t="s">
        <v>176</v>
      </c>
      <c r="B11" s="227" t="s">
        <v>174</v>
      </c>
      <c r="C11" s="229"/>
      <c r="D11" s="228"/>
      <c r="E11" s="230">
        <v>40000</v>
      </c>
      <c r="F11" s="231"/>
      <c r="G11" s="227" t="s">
        <v>175</v>
      </c>
      <c r="H11" s="232">
        <v>10000</v>
      </c>
      <c r="I11" s="233"/>
      <c r="J11" s="230">
        <v>10000</v>
      </c>
      <c r="K11" s="233"/>
      <c r="L11" s="232">
        <v>10000</v>
      </c>
      <c r="M11" s="228"/>
      <c r="N11" s="230">
        <v>10000</v>
      </c>
      <c r="O11" s="228"/>
      <c r="P11" s="210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</row>
    <row r="12" spans="1:29" s="124" customFormat="1">
      <c r="A12" s="234" t="s">
        <v>69</v>
      </c>
      <c r="B12" s="227" t="s">
        <v>174</v>
      </c>
      <c r="C12" s="229"/>
      <c r="D12" s="228"/>
      <c r="E12" s="230">
        <v>60500</v>
      </c>
      <c r="F12" s="231"/>
      <c r="G12" s="227" t="s">
        <v>175</v>
      </c>
      <c r="H12" s="232">
        <v>60500</v>
      </c>
      <c r="I12" s="235" t="s">
        <v>177</v>
      </c>
      <c r="J12" s="233"/>
      <c r="K12" s="233"/>
      <c r="L12" s="232"/>
      <c r="M12" s="228"/>
      <c r="N12" s="228"/>
      <c r="O12" s="228"/>
      <c r="P12" s="210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</row>
    <row r="13" spans="1:29" s="124" customFormat="1">
      <c r="A13" s="234" t="s">
        <v>178</v>
      </c>
      <c r="B13" s="236" t="s">
        <v>71</v>
      </c>
      <c r="C13" s="229"/>
      <c r="D13" s="228"/>
      <c r="E13" s="230">
        <v>99000</v>
      </c>
      <c r="F13" s="231"/>
      <c r="G13" s="227" t="s">
        <v>175</v>
      </c>
      <c r="H13" s="232">
        <v>99000</v>
      </c>
      <c r="I13" s="237" t="s">
        <v>179</v>
      </c>
      <c r="J13" s="228"/>
      <c r="K13" s="228"/>
      <c r="L13" s="232"/>
      <c r="M13" s="228"/>
      <c r="N13" s="228"/>
      <c r="O13" s="228"/>
      <c r="P13" s="210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</row>
    <row r="14" spans="1:29">
      <c r="A14" s="226" t="s">
        <v>180</v>
      </c>
      <c r="B14" s="236" t="s">
        <v>71</v>
      </c>
      <c r="C14" s="229"/>
      <c r="D14" s="228"/>
      <c r="E14" s="230">
        <v>153000</v>
      </c>
      <c r="F14" s="231"/>
      <c r="G14" s="227" t="s">
        <v>175</v>
      </c>
      <c r="H14" s="232">
        <v>153000</v>
      </c>
      <c r="I14" s="229" t="s">
        <v>179</v>
      </c>
      <c r="J14" s="228"/>
      <c r="K14" s="228"/>
      <c r="L14" s="232"/>
      <c r="M14" s="228"/>
      <c r="N14" s="228"/>
      <c r="O14" s="228"/>
      <c r="P14" s="210"/>
    </row>
    <row r="15" spans="1:29">
      <c r="A15" s="226" t="s">
        <v>181</v>
      </c>
      <c r="B15" s="236" t="s">
        <v>71</v>
      </c>
      <c r="C15" s="229"/>
      <c r="D15" s="228"/>
      <c r="E15" s="230">
        <v>37000</v>
      </c>
      <c r="F15" s="231"/>
      <c r="G15" s="227" t="s">
        <v>175</v>
      </c>
      <c r="H15" s="232">
        <v>27000</v>
      </c>
      <c r="I15" s="228"/>
      <c r="J15" s="230">
        <v>10000</v>
      </c>
      <c r="K15" s="228"/>
      <c r="L15" s="232"/>
      <c r="M15" s="228"/>
      <c r="N15" s="228"/>
      <c r="O15" s="228"/>
      <c r="P15" s="210"/>
    </row>
    <row r="16" spans="1:29" s="124" customFormat="1">
      <c r="A16" s="226" t="s">
        <v>182</v>
      </c>
      <c r="B16" s="236" t="s">
        <v>71</v>
      </c>
      <c r="C16" s="229"/>
      <c r="D16" s="228"/>
      <c r="E16" s="230">
        <v>119000</v>
      </c>
      <c r="F16" s="231"/>
      <c r="G16" s="227" t="s">
        <v>175</v>
      </c>
      <c r="H16" s="232">
        <v>119000</v>
      </c>
      <c r="I16" s="234"/>
      <c r="J16" s="228"/>
      <c r="K16" s="228"/>
      <c r="L16" s="232"/>
      <c r="M16" s="233"/>
      <c r="N16" s="233"/>
      <c r="O16" s="233"/>
      <c r="P16" s="210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</row>
    <row r="17" spans="1:29" s="124" customFormat="1">
      <c r="A17" s="226" t="s">
        <v>198</v>
      </c>
      <c r="B17" s="236" t="s">
        <v>71</v>
      </c>
      <c r="C17" s="229"/>
      <c r="D17" s="228"/>
      <c r="E17" s="230">
        <v>86600</v>
      </c>
      <c r="F17" s="231"/>
      <c r="G17" s="227" t="s">
        <v>175</v>
      </c>
      <c r="H17" s="238"/>
      <c r="I17" s="230">
        <v>49000</v>
      </c>
      <c r="J17" s="239">
        <f>E17-I17</f>
        <v>37600</v>
      </c>
      <c r="K17" s="228"/>
      <c r="L17" s="232"/>
      <c r="M17" s="233"/>
      <c r="N17" s="233"/>
      <c r="O17" s="233"/>
      <c r="P17" s="210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</row>
    <row r="18" spans="1:29" s="124" customFormat="1">
      <c r="A18" s="14" t="s">
        <v>199</v>
      </c>
      <c r="B18" s="165" t="s">
        <v>71</v>
      </c>
      <c r="C18" s="15"/>
      <c r="E18" s="33">
        <v>183500</v>
      </c>
      <c r="F18" s="177"/>
      <c r="G18" s="227" t="s">
        <v>175</v>
      </c>
      <c r="H18" s="213"/>
      <c r="I18" s="32"/>
      <c r="J18" s="33">
        <f>E18-J19</f>
        <v>114900</v>
      </c>
      <c r="L18" s="139"/>
      <c r="M18" s="170"/>
      <c r="N18" s="170"/>
      <c r="O18" s="170"/>
      <c r="P18" s="210"/>
    </row>
    <row r="19" spans="1:29" s="124" customFormat="1">
      <c r="A19" s="14"/>
      <c r="B19" s="165"/>
      <c r="C19" s="15"/>
      <c r="E19" s="33"/>
      <c r="F19" s="177"/>
      <c r="G19" s="80" t="s">
        <v>187</v>
      </c>
      <c r="H19" s="213"/>
      <c r="I19" s="32"/>
      <c r="J19" s="33">
        <f>68600</f>
        <v>68600</v>
      </c>
      <c r="L19" s="139"/>
      <c r="M19" s="170"/>
      <c r="N19" s="170"/>
      <c r="O19" s="170"/>
      <c r="P19" s="210"/>
    </row>
    <row r="20" spans="1:29" s="124" customFormat="1">
      <c r="A20" s="226" t="s">
        <v>183</v>
      </c>
      <c r="B20" s="236" t="s">
        <v>71</v>
      </c>
      <c r="C20" s="229"/>
      <c r="D20" s="228"/>
      <c r="E20" s="230">
        <v>70000</v>
      </c>
      <c r="F20" s="231"/>
      <c r="G20" s="227" t="s">
        <v>175</v>
      </c>
      <c r="H20" s="240"/>
      <c r="I20" s="234"/>
      <c r="J20" s="228"/>
      <c r="K20" s="230">
        <v>70000</v>
      </c>
      <c r="L20" s="232"/>
      <c r="M20" s="233"/>
      <c r="N20" s="233"/>
      <c r="O20" s="233"/>
      <c r="P20" s="210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</row>
    <row r="21" spans="1:29" s="124" customFormat="1">
      <c r="A21" s="234" t="s">
        <v>72</v>
      </c>
      <c r="B21" s="236" t="s">
        <v>71</v>
      </c>
      <c r="C21" s="229"/>
      <c r="D21" s="228"/>
      <c r="E21" s="230">
        <v>50000</v>
      </c>
      <c r="F21" s="231"/>
      <c r="G21" s="227" t="s">
        <v>175</v>
      </c>
      <c r="H21" s="241"/>
      <c r="I21" s="234"/>
      <c r="J21" s="228"/>
      <c r="K21" s="230">
        <f>E21</f>
        <v>50000</v>
      </c>
      <c r="L21" s="232"/>
      <c r="M21" s="233"/>
      <c r="N21" s="233"/>
      <c r="O21" s="233"/>
      <c r="P21" s="210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</row>
    <row r="22" spans="1:29" s="124" customFormat="1">
      <c r="A22" s="234" t="s">
        <v>184</v>
      </c>
      <c r="B22" s="236" t="s">
        <v>71</v>
      </c>
      <c r="C22" s="229"/>
      <c r="D22" s="228"/>
      <c r="E22" s="230">
        <v>25000</v>
      </c>
      <c r="F22" s="231"/>
      <c r="G22" s="227" t="s">
        <v>175</v>
      </c>
      <c r="H22" s="241"/>
      <c r="I22" s="234"/>
      <c r="J22" s="228"/>
      <c r="K22" s="228"/>
      <c r="L22" s="232">
        <v>25000</v>
      </c>
      <c r="M22" s="233"/>
      <c r="N22" s="233"/>
      <c r="O22" s="233"/>
      <c r="P22" s="210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</row>
    <row r="23" spans="1:29" s="124" customFormat="1">
      <c r="A23" s="226" t="s">
        <v>163</v>
      </c>
      <c r="B23" s="236" t="s">
        <v>71</v>
      </c>
      <c r="C23" s="229"/>
      <c r="D23" s="228"/>
      <c r="E23" s="230">
        <v>60000</v>
      </c>
      <c r="F23" s="231"/>
      <c r="G23" s="227" t="s">
        <v>175</v>
      </c>
      <c r="H23" s="241"/>
      <c r="I23" s="234"/>
      <c r="J23" s="228"/>
      <c r="K23" s="228"/>
      <c r="L23" s="232"/>
      <c r="M23" s="230">
        <v>20000</v>
      </c>
      <c r="N23" s="230">
        <v>20000</v>
      </c>
      <c r="O23" s="239">
        <v>20000</v>
      </c>
      <c r="P23" s="210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</row>
    <row r="24" spans="1:29" s="124" customFormat="1">
      <c r="A24" s="226" t="s">
        <v>185</v>
      </c>
      <c r="B24" s="236" t="s">
        <v>71</v>
      </c>
      <c r="C24" s="229"/>
      <c r="D24" s="228"/>
      <c r="E24" s="230">
        <v>25000</v>
      </c>
      <c r="F24" s="231"/>
      <c r="G24" s="227" t="s">
        <v>175</v>
      </c>
      <c r="H24" s="241"/>
      <c r="I24" s="234"/>
      <c r="J24" s="228"/>
      <c r="K24" s="228"/>
      <c r="L24" s="232"/>
      <c r="M24" s="228"/>
      <c r="N24" s="228"/>
      <c r="O24" s="239">
        <f>E24</f>
        <v>25000</v>
      </c>
      <c r="P24" s="210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</row>
    <row r="25" spans="1:29" s="124" customFormat="1">
      <c r="A25" s="14"/>
      <c r="B25" s="165"/>
      <c r="E25" s="33"/>
      <c r="F25" s="178"/>
      <c r="G25" s="169"/>
      <c r="H25" s="142"/>
      <c r="I25" s="32"/>
      <c r="L25" s="142"/>
      <c r="P25" s="210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</row>
    <row r="26" spans="1:29" ht="28.5" customHeight="1" thickBot="1">
      <c r="A26" s="166" t="s">
        <v>74</v>
      </c>
      <c r="B26" s="211" t="s">
        <v>75</v>
      </c>
      <c r="C26" s="212" t="s">
        <v>6</v>
      </c>
      <c r="D26" s="212" t="s">
        <v>7</v>
      </c>
      <c r="E26" s="47">
        <f>E27</f>
        <v>45000</v>
      </c>
      <c r="F26" s="176" t="s">
        <v>172</v>
      </c>
      <c r="G26" s="143"/>
      <c r="H26" s="168"/>
      <c r="I26" s="167"/>
      <c r="J26" s="167"/>
      <c r="K26" s="167"/>
      <c r="L26" s="168"/>
      <c r="M26" s="167"/>
      <c r="N26" s="167"/>
      <c r="O26" s="167"/>
      <c r="P26" s="210"/>
    </row>
    <row r="27" spans="1:29" s="124" customFormat="1" ht="15.75" thickTop="1">
      <c r="A27" s="32" t="s">
        <v>76</v>
      </c>
      <c r="B27" s="165" t="s">
        <v>186</v>
      </c>
      <c r="C27" s="15"/>
      <c r="D27" s="15"/>
      <c r="E27" s="33">
        <v>45000</v>
      </c>
      <c r="F27" s="177"/>
      <c r="G27" s="80" t="s">
        <v>187</v>
      </c>
      <c r="H27" s="142"/>
      <c r="I27" s="32"/>
      <c r="L27" s="139">
        <f>E27</f>
        <v>45000</v>
      </c>
      <c r="N27" s="137"/>
      <c r="O27" s="137"/>
      <c r="P27" s="210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</row>
    <row r="28" spans="1:29" s="124" customFormat="1">
      <c r="A28" s="32"/>
      <c r="B28" s="165"/>
      <c r="E28" s="33"/>
      <c r="F28" s="165"/>
      <c r="G28" s="169"/>
      <c r="H28" s="142"/>
      <c r="I28" s="32"/>
      <c r="L28" s="142"/>
      <c r="P28" s="210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</row>
    <row r="29" spans="1:29" ht="27.75" customHeight="1" thickBot="1">
      <c r="A29" s="166" t="s">
        <v>188</v>
      </c>
      <c r="B29" s="212" t="s">
        <v>24</v>
      </c>
      <c r="C29" s="212" t="s">
        <v>6</v>
      </c>
      <c r="D29" s="212" t="s">
        <v>7</v>
      </c>
      <c r="E29" s="214">
        <f>SUM(E30:E33)</f>
        <v>3906400</v>
      </c>
      <c r="F29" s="176" t="s">
        <v>172</v>
      </c>
      <c r="G29" s="143"/>
      <c r="H29" s="168"/>
      <c r="I29" s="167"/>
      <c r="J29" s="167"/>
      <c r="K29" s="167"/>
      <c r="L29" s="168"/>
      <c r="M29" s="167"/>
      <c r="N29" s="167"/>
      <c r="O29" s="167"/>
      <c r="P29" s="210"/>
    </row>
    <row r="30" spans="1:29" s="124" customFormat="1" ht="15.75" thickTop="1">
      <c r="A30" s="14" t="s">
        <v>189</v>
      </c>
      <c r="B30" s="215" t="s">
        <v>24</v>
      </c>
      <c r="E30" s="33">
        <v>30000</v>
      </c>
      <c r="F30" s="177"/>
      <c r="G30" s="80" t="s">
        <v>187</v>
      </c>
      <c r="H30" s="59"/>
      <c r="I30" s="32"/>
      <c r="L30" s="139">
        <v>20000</v>
      </c>
      <c r="M30" s="170"/>
      <c r="N30" s="170"/>
      <c r="O30" s="170">
        <v>10000</v>
      </c>
      <c r="P30" s="210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</row>
    <row r="31" spans="1:29" s="124" customFormat="1" ht="15" customHeight="1">
      <c r="A31" s="32" t="s">
        <v>78</v>
      </c>
      <c r="B31" s="215" t="s">
        <v>24</v>
      </c>
      <c r="C31" s="15"/>
      <c r="D31" s="32"/>
      <c r="E31" s="33">
        <v>40000</v>
      </c>
      <c r="F31" s="177"/>
      <c r="G31" s="80" t="s">
        <v>187</v>
      </c>
      <c r="H31" s="142"/>
      <c r="I31" s="32"/>
      <c r="J31" s="32"/>
      <c r="K31" s="32"/>
      <c r="L31" s="142"/>
      <c r="M31" s="33">
        <f>E31</f>
        <v>40000</v>
      </c>
      <c r="N31" s="32"/>
      <c r="O31" s="32"/>
      <c r="P31" s="210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</row>
    <row r="32" spans="1:29" s="124" customFormat="1">
      <c r="A32" s="14" t="s">
        <v>190</v>
      </c>
      <c r="B32" s="215" t="s">
        <v>24</v>
      </c>
      <c r="C32" s="15"/>
      <c r="E32" s="33">
        <v>3336000</v>
      </c>
      <c r="F32" s="177"/>
      <c r="G32" s="80" t="s">
        <v>187</v>
      </c>
      <c r="H32" s="142"/>
      <c r="I32" s="32"/>
      <c r="L32" s="142"/>
      <c r="M32" s="33">
        <v>1336000</v>
      </c>
      <c r="N32" s="33">
        <v>1000000</v>
      </c>
      <c r="O32" s="33">
        <v>1000000</v>
      </c>
      <c r="P32" s="210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</row>
    <row r="33" spans="1:16">
      <c r="A33" s="156" t="s">
        <v>195</v>
      </c>
      <c r="B33" s="257" t="s">
        <v>24</v>
      </c>
      <c r="C33" s="156"/>
      <c r="D33" s="156"/>
      <c r="E33" s="216">
        <f>E32*0.15</f>
        <v>500400</v>
      </c>
      <c r="F33" s="217"/>
      <c r="G33" s="218" t="s">
        <v>187</v>
      </c>
      <c r="H33" s="171"/>
      <c r="I33" s="174"/>
      <c r="J33" s="174"/>
      <c r="K33" s="174"/>
      <c r="L33" s="171"/>
      <c r="M33" s="174"/>
      <c r="N33" s="216"/>
      <c r="O33" s="219">
        <f>E33</f>
        <v>500400</v>
      </c>
      <c r="P33" s="210"/>
    </row>
    <row r="34" spans="1:16">
      <c r="A34" s="32"/>
      <c r="B34" s="258"/>
      <c r="C34" s="32"/>
      <c r="D34" s="32"/>
      <c r="E34" s="33"/>
      <c r="F34" s="259"/>
      <c r="G34" s="38"/>
      <c r="H34" s="133"/>
      <c r="I34" s="133"/>
      <c r="J34" s="133"/>
      <c r="K34" s="133"/>
      <c r="L34" s="133"/>
      <c r="M34" s="133"/>
      <c r="N34" s="33"/>
      <c r="O34" s="33"/>
      <c r="P34" s="208"/>
    </row>
    <row r="35" spans="1:16" ht="15.75" thickBot="1">
      <c r="A35" s="215" t="s">
        <v>20</v>
      </c>
      <c r="B35" s="215"/>
      <c r="C35" s="215"/>
      <c r="D35" s="215"/>
      <c r="E35" s="220">
        <f>E26+E29+J19</f>
        <v>4020000</v>
      </c>
      <c r="F35" s="158"/>
      <c r="G35" s="124"/>
      <c r="H35" s="221">
        <f>SUM(H27:H33)</f>
        <v>0</v>
      </c>
      <c r="I35" s="221">
        <f>SUM(I27:I33)</f>
        <v>0</v>
      </c>
      <c r="J35" s="221">
        <f>J19</f>
        <v>68600</v>
      </c>
      <c r="K35" s="221">
        <f>SUM(K27:K33)</f>
        <v>0</v>
      </c>
      <c r="L35" s="221">
        <f>SUM(L27:L33)</f>
        <v>65000</v>
      </c>
      <c r="M35" s="221">
        <f>SUM(M27:M33)</f>
        <v>1376000</v>
      </c>
      <c r="N35" s="221">
        <f>SUM(N27:N33)</f>
        <v>1000000</v>
      </c>
      <c r="O35" s="221">
        <f>SUM(O27:O33)</f>
        <v>1510400</v>
      </c>
      <c r="P35" s="99">
        <f>SUM(H35:O35)</f>
        <v>4020000</v>
      </c>
    </row>
    <row r="36" spans="1:16" ht="15.75" thickTop="1">
      <c r="E36" s="243"/>
      <c r="G36" s="158"/>
      <c r="M36" s="161"/>
    </row>
    <row r="37" spans="1:16">
      <c r="A37" t="s">
        <v>191</v>
      </c>
      <c r="E37" s="224">
        <v>3270000</v>
      </c>
      <c r="F37" s="161"/>
      <c r="G37" s="158"/>
      <c r="P37" s="161"/>
    </row>
    <row r="38" spans="1:16" ht="15.75" customHeight="1">
      <c r="A38" s="215" t="s">
        <v>196</v>
      </c>
      <c r="B38" s="222"/>
      <c r="C38" s="215"/>
      <c r="D38" s="215"/>
      <c r="E38" s="224">
        <v>750000</v>
      </c>
      <c r="H38" s="161"/>
      <c r="I38" s="223"/>
    </row>
    <row r="39" spans="1:16" ht="21.75" customHeight="1" thickBot="1">
      <c r="A39" s="215" t="s">
        <v>194</v>
      </c>
      <c r="E39" s="220">
        <f>SUM(E37:E38)</f>
        <v>4020000</v>
      </c>
      <c r="G39" s="161"/>
    </row>
    <row r="40" spans="1:16" ht="15.75" thickTop="1">
      <c r="G40" s="161"/>
    </row>
    <row r="41" spans="1:16">
      <c r="E41" s="161"/>
    </row>
    <row r="42" spans="1:16">
      <c r="G42" s="225"/>
    </row>
  </sheetData>
  <mergeCells count="5">
    <mergeCell ref="H2:K2"/>
    <mergeCell ref="L2:O2"/>
    <mergeCell ref="J1:M1"/>
    <mergeCell ref="N1:Q1"/>
    <mergeCell ref="F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"/>
  <sheetViews>
    <sheetView zoomScale="75" zoomScaleNormal="75" workbookViewId="0">
      <selection activeCell="K4" sqref="K4"/>
    </sheetView>
  </sheetViews>
  <sheetFormatPr defaultRowHeight="15"/>
  <cols>
    <col min="1" max="1" width="46.140625" style="87" customWidth="1"/>
    <col min="2" max="4" width="13.42578125" style="87" customWidth="1"/>
    <col min="5" max="5" width="14.42578125" style="87" customWidth="1"/>
    <col min="6" max="6" width="17.5703125" style="87" customWidth="1"/>
    <col min="7" max="7" width="10.42578125" style="87" bestFit="1" customWidth="1"/>
    <col min="8" max="8" width="10" style="87" bestFit="1" customWidth="1"/>
    <col min="9" max="10" width="10.42578125" style="87" bestFit="1" customWidth="1"/>
    <col min="11" max="11" width="9.7109375" style="87" customWidth="1"/>
    <col min="12" max="14" width="11.5703125" style="87" bestFit="1" customWidth="1"/>
    <col min="15" max="16384" width="9.140625" style="87"/>
  </cols>
  <sheetData>
    <row r="1" spans="1:14">
      <c r="A1" s="87" t="s">
        <v>152</v>
      </c>
    </row>
    <row r="2" spans="1:14" ht="14.25" customHeight="1">
      <c r="A2" s="125"/>
      <c r="B2" s="125"/>
      <c r="I2" s="269" t="s">
        <v>164</v>
      </c>
      <c r="J2" s="280"/>
      <c r="K2" s="280"/>
      <c r="L2" s="281"/>
    </row>
    <row r="3" spans="1:14">
      <c r="G3" s="265" t="s">
        <v>10</v>
      </c>
      <c r="H3" s="276"/>
      <c r="I3" s="276"/>
      <c r="J3" s="276"/>
      <c r="K3" s="265" t="s">
        <v>11</v>
      </c>
      <c r="L3" s="277"/>
      <c r="M3" s="277"/>
      <c r="N3" s="278"/>
    </row>
    <row r="4" spans="1:14">
      <c r="G4" s="126" t="s">
        <v>14</v>
      </c>
      <c r="H4" s="127" t="s">
        <v>15</v>
      </c>
      <c r="I4" s="128" t="s">
        <v>16</v>
      </c>
      <c r="J4" s="128" t="s">
        <v>17</v>
      </c>
      <c r="K4" s="126" t="s">
        <v>14</v>
      </c>
      <c r="L4" s="127" t="s">
        <v>15</v>
      </c>
      <c r="M4" s="127" t="s">
        <v>16</v>
      </c>
      <c r="N4" s="129" t="s">
        <v>17</v>
      </c>
    </row>
    <row r="5" spans="1:14" ht="15.75" thickBot="1">
      <c r="A5" s="13" t="s">
        <v>5</v>
      </c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0"/>
      <c r="H5" s="123"/>
      <c r="I5" s="123"/>
      <c r="J5" s="123"/>
      <c r="K5" s="130"/>
      <c r="L5" s="123"/>
      <c r="M5" s="123"/>
      <c r="N5" s="131"/>
    </row>
    <row r="6" spans="1:14" ht="15.75" thickTop="1">
      <c r="A6" s="124" t="s">
        <v>26</v>
      </c>
      <c r="G6" s="132"/>
      <c r="K6" s="132"/>
      <c r="L6" s="133"/>
      <c r="M6" s="133"/>
      <c r="N6" s="134"/>
    </row>
    <row r="7" spans="1:14" ht="15.75" thickBot="1">
      <c r="A7" s="135"/>
      <c r="C7" s="123" t="s">
        <v>132</v>
      </c>
      <c r="D7" s="123"/>
      <c r="E7" s="123"/>
      <c r="F7" s="123"/>
      <c r="G7" s="132"/>
      <c r="K7" s="132"/>
      <c r="L7" s="133"/>
      <c r="M7" s="133"/>
      <c r="N7" s="134"/>
    </row>
    <row r="8" spans="1:14" ht="16.5" thickTop="1" thickBot="1">
      <c r="A8" s="2" t="s">
        <v>21</v>
      </c>
      <c r="B8" s="123" t="s">
        <v>8</v>
      </c>
      <c r="C8" s="123" t="s">
        <v>6</v>
      </c>
      <c r="D8" s="123" t="s">
        <v>25</v>
      </c>
      <c r="E8" s="5"/>
      <c r="F8" s="136" t="s">
        <v>6</v>
      </c>
      <c r="G8" s="130"/>
      <c r="H8" s="123"/>
      <c r="I8" s="123"/>
      <c r="J8" s="123"/>
      <c r="K8" s="130"/>
      <c r="L8" s="123"/>
      <c r="M8" s="123"/>
      <c r="N8" s="131"/>
    </row>
    <row r="9" spans="1:14" ht="15.75" thickTop="1">
      <c r="A9" s="32"/>
      <c r="B9" s="124" t="s">
        <v>30</v>
      </c>
      <c r="C9" s="124"/>
      <c r="D9" s="124"/>
      <c r="E9" s="153">
        <v>37500</v>
      </c>
      <c r="F9" s="138"/>
      <c r="G9" s="139"/>
      <c r="H9" s="154">
        <v>37500</v>
      </c>
      <c r="I9" s="137"/>
      <c r="J9" s="137"/>
      <c r="K9" s="140"/>
      <c r="L9" s="141"/>
      <c r="M9" s="133"/>
      <c r="N9" s="134"/>
    </row>
    <row r="10" spans="1:14">
      <c r="A10" s="32"/>
      <c r="B10" s="124" t="s">
        <v>31</v>
      </c>
      <c r="C10" s="124"/>
      <c r="D10" s="124"/>
      <c r="E10" s="146"/>
      <c r="F10" s="138"/>
      <c r="G10" s="139"/>
      <c r="H10" s="137"/>
      <c r="I10" s="137"/>
      <c r="J10" s="137"/>
      <c r="K10" s="140"/>
      <c r="L10" s="141"/>
      <c r="M10" s="133"/>
      <c r="N10" s="134"/>
    </row>
    <row r="11" spans="1:14">
      <c r="A11" s="32"/>
      <c r="B11" s="124"/>
      <c r="C11" s="124"/>
      <c r="D11" s="124"/>
      <c r="E11" s="124"/>
      <c r="F11" s="128"/>
      <c r="G11" s="142"/>
      <c r="H11" s="124"/>
      <c r="I11" s="124"/>
      <c r="J11" s="124"/>
      <c r="K11" s="132"/>
      <c r="L11" s="133"/>
      <c r="M11" s="133"/>
      <c r="N11" s="134"/>
    </row>
    <row r="12" spans="1:14" ht="15.75" thickBot="1">
      <c r="A12" s="2" t="s">
        <v>23</v>
      </c>
      <c r="B12" s="123" t="s">
        <v>24</v>
      </c>
      <c r="C12" s="123" t="s">
        <v>6</v>
      </c>
      <c r="D12" s="123" t="s">
        <v>7</v>
      </c>
      <c r="E12" s="5"/>
      <c r="F12" s="143" t="s">
        <v>22</v>
      </c>
      <c r="G12" s="144"/>
      <c r="H12" s="145"/>
      <c r="I12" s="145"/>
      <c r="J12" s="145"/>
      <c r="K12" s="144"/>
      <c r="L12" s="123"/>
      <c r="M12" s="123"/>
      <c r="N12" s="131"/>
    </row>
    <row r="13" spans="1:14" ht="15.75" thickTop="1">
      <c r="A13" s="124"/>
      <c r="B13" s="124"/>
      <c r="C13" s="124"/>
      <c r="D13" s="124"/>
      <c r="E13" s="146"/>
      <c r="F13" s="147"/>
      <c r="G13" s="148"/>
      <c r="H13" s="146"/>
      <c r="I13" s="146"/>
      <c r="J13" s="146"/>
      <c r="K13" s="149"/>
      <c r="L13" s="141"/>
      <c r="M13" s="141"/>
      <c r="N13" s="150"/>
    </row>
    <row r="14" spans="1:14">
      <c r="A14" s="151"/>
      <c r="B14" s="124"/>
      <c r="C14" s="124"/>
      <c r="D14" s="124"/>
      <c r="E14" s="146"/>
      <c r="F14" s="152"/>
      <c r="G14" s="148"/>
      <c r="H14" s="146"/>
      <c r="I14" s="146"/>
      <c r="J14" s="146"/>
      <c r="K14" s="149"/>
      <c r="L14" s="141"/>
      <c r="M14" s="141"/>
      <c r="N14" s="150"/>
    </row>
    <row r="15" spans="1:14">
      <c r="A15" s="124" t="s">
        <v>27</v>
      </c>
      <c r="B15" s="124"/>
      <c r="C15" s="124"/>
      <c r="D15" s="124"/>
      <c r="E15" s="146"/>
      <c r="F15" s="152"/>
      <c r="G15" s="148"/>
      <c r="H15" s="146"/>
      <c r="I15" s="146"/>
      <c r="J15" s="146"/>
      <c r="K15" s="149"/>
      <c r="L15" s="141"/>
      <c r="M15" s="141"/>
      <c r="N15" s="150"/>
    </row>
    <row r="16" spans="1:14">
      <c r="A16" s="124"/>
      <c r="F16" s="152"/>
      <c r="G16" s="148"/>
      <c r="I16" s="154"/>
      <c r="J16" s="154"/>
      <c r="K16" s="155"/>
      <c r="L16" s="141"/>
      <c r="M16" s="141"/>
      <c r="N16" s="150"/>
    </row>
    <row r="17" spans="1:14">
      <c r="A17" s="124"/>
      <c r="F17" s="152"/>
      <c r="G17" s="148"/>
      <c r="H17" s="154"/>
      <c r="I17" s="154"/>
      <c r="J17" s="154"/>
      <c r="K17" s="155"/>
      <c r="L17" s="141"/>
      <c r="M17" s="141"/>
      <c r="N17" s="150"/>
    </row>
    <row r="18" spans="1:14">
      <c r="A18" s="124"/>
      <c r="B18" s="124" t="s">
        <v>28</v>
      </c>
      <c r="C18" s="124"/>
      <c r="D18" s="124"/>
      <c r="E18" s="153">
        <v>250000</v>
      </c>
      <c r="F18" s="160">
        <f>E18*0.8</f>
        <v>200000</v>
      </c>
      <c r="G18" s="148"/>
      <c r="H18" s="154"/>
      <c r="I18" s="154">
        <v>50000</v>
      </c>
      <c r="J18" s="154">
        <v>100000</v>
      </c>
      <c r="K18" s="155">
        <v>100000</v>
      </c>
      <c r="L18" s="141"/>
      <c r="M18" s="141"/>
      <c r="N18" s="150"/>
    </row>
    <row r="19" spans="1:14">
      <c r="A19" s="156"/>
      <c r="B19" s="156" t="s">
        <v>29</v>
      </c>
      <c r="C19" s="156"/>
      <c r="D19" s="156"/>
      <c r="E19" s="157">
        <v>400000</v>
      </c>
      <c r="F19" s="160">
        <f>E19*0.8</f>
        <v>320000</v>
      </c>
      <c r="G19" s="181"/>
      <c r="H19" s="182"/>
      <c r="I19" s="182">
        <v>200000</v>
      </c>
      <c r="J19" s="182">
        <v>160000</v>
      </c>
      <c r="K19" s="183">
        <v>40000</v>
      </c>
      <c r="L19" s="184"/>
      <c r="M19" s="184"/>
      <c r="N19" s="185"/>
    </row>
    <row r="20" spans="1:14">
      <c r="A20" s="124"/>
      <c r="B20" s="124"/>
      <c r="C20" s="124"/>
      <c r="D20" s="124"/>
      <c r="E20" s="153"/>
      <c r="F20" s="152"/>
      <c r="G20" s="148"/>
    </row>
    <row r="21" spans="1:14">
      <c r="A21" s="124" t="s">
        <v>136</v>
      </c>
      <c r="B21" s="124"/>
      <c r="C21" s="124"/>
      <c r="D21" s="124"/>
      <c r="E21" s="158">
        <f>E8+E12+SUM(E9:E19)</f>
        <v>687500</v>
      </c>
      <c r="F21" s="152"/>
      <c r="G21" s="148"/>
      <c r="I21" s="159">
        <f>SUM(I18:I20)</f>
        <v>250000</v>
      </c>
      <c r="J21" s="159">
        <f>SUM(J18:J20)</f>
        <v>260000</v>
      </c>
      <c r="K21" s="159">
        <f>SUM(K18:K20)</f>
        <v>140000</v>
      </c>
      <c r="L21" s="159"/>
    </row>
    <row r="22" spans="1:14">
      <c r="A22" s="124"/>
      <c r="B22" s="124"/>
      <c r="C22" s="124"/>
      <c r="D22" s="124"/>
      <c r="E22" s="158"/>
      <c r="F22" s="152"/>
      <c r="G22" s="148"/>
    </row>
    <row r="23" spans="1:14">
      <c r="A23" s="124" t="s">
        <v>137</v>
      </c>
      <c r="B23" s="124"/>
      <c r="C23" s="124"/>
      <c r="D23" s="124"/>
      <c r="E23" s="158">
        <f>E18+E19</f>
        <v>650000</v>
      </c>
      <c r="F23" s="152">
        <f>SUM(F14:F19)</f>
        <v>520000</v>
      </c>
      <c r="G23" s="148"/>
    </row>
    <row r="24" spans="1:14">
      <c r="A24" s="124" t="s">
        <v>120</v>
      </c>
      <c r="B24" s="124"/>
      <c r="C24" s="124"/>
      <c r="D24" s="124"/>
      <c r="E24" s="158">
        <f>E23*0.035</f>
        <v>22750.000000000004</v>
      </c>
      <c r="F24" s="160">
        <f>E24</f>
        <v>22750.000000000004</v>
      </c>
      <c r="G24" s="148"/>
      <c r="H24" s="161"/>
      <c r="I24" s="161">
        <f>$F24/3</f>
        <v>7583.3333333333348</v>
      </c>
      <c r="J24" s="161">
        <f>$F24/3</f>
        <v>7583.3333333333348</v>
      </c>
      <c r="K24" s="161">
        <f>$F24/3</f>
        <v>7583.3333333333348</v>
      </c>
      <c r="L24" s="161"/>
      <c r="M24" s="161"/>
      <c r="N24" s="161"/>
    </row>
    <row r="25" spans="1:14">
      <c r="A25" s="124"/>
      <c r="B25" s="124"/>
      <c r="C25" s="124"/>
      <c r="D25" s="124"/>
      <c r="E25" s="158"/>
      <c r="F25" s="160"/>
      <c r="G25" s="148"/>
      <c r="H25" s="161"/>
      <c r="I25" s="161"/>
      <c r="J25" s="161"/>
      <c r="K25" s="161"/>
      <c r="L25" s="161"/>
      <c r="M25" s="161"/>
      <c r="N25" s="161"/>
    </row>
    <row r="26" spans="1:14">
      <c r="A26" s="124" t="s">
        <v>123</v>
      </c>
      <c r="B26" s="124"/>
      <c r="C26" s="124"/>
      <c r="D26" s="124"/>
      <c r="E26" s="158">
        <f>E23+E24</f>
        <v>672750</v>
      </c>
      <c r="F26" s="162">
        <f>F23+E24</f>
        <v>542750</v>
      </c>
      <c r="G26" s="148"/>
      <c r="H26" s="137">
        <v>37500</v>
      </c>
      <c r="I26" s="159">
        <f>I21+I24</f>
        <v>257583.33333333334</v>
      </c>
      <c r="J26" s="159">
        <f>J21+J24</f>
        <v>267583.33333333331</v>
      </c>
      <c r="K26" s="159">
        <f>K21+K24</f>
        <v>147583.33333333334</v>
      </c>
    </row>
    <row r="27" spans="1:14">
      <c r="A27" s="124"/>
      <c r="B27" s="124"/>
      <c r="C27" s="124"/>
      <c r="D27" s="124"/>
      <c r="E27" s="158"/>
      <c r="F27" s="163"/>
      <c r="G27" s="148"/>
    </row>
    <row r="28" spans="1:14">
      <c r="A28" s="124" t="s">
        <v>20</v>
      </c>
      <c r="B28" s="124"/>
      <c r="C28" s="124"/>
      <c r="D28" s="124"/>
      <c r="E28" s="189">
        <f>E26+E9</f>
        <v>710250</v>
      </c>
      <c r="F28" s="124"/>
      <c r="G28" s="148"/>
      <c r="K28" s="159">
        <f>SUM(H26:K26)</f>
        <v>710250.00000000012</v>
      </c>
    </row>
    <row r="29" spans="1:14">
      <c r="A29" s="124"/>
      <c r="B29" s="124"/>
      <c r="C29" s="124"/>
      <c r="D29" s="124"/>
      <c r="E29" s="158"/>
      <c r="F29" s="163"/>
      <c r="G29" s="148"/>
      <c r="L29" s="161"/>
    </row>
    <row r="30" spans="1:14">
      <c r="A30" s="124" t="s">
        <v>12</v>
      </c>
      <c r="B30" s="124"/>
      <c r="C30" s="124"/>
      <c r="D30" s="124"/>
      <c r="E30" s="158">
        <f>F26</f>
        <v>542750</v>
      </c>
      <c r="F30" s="164">
        <f>E30/E28</f>
        <v>0.76416754663850761</v>
      </c>
      <c r="G30" s="148"/>
      <c r="L30" s="159"/>
    </row>
    <row r="31" spans="1:14">
      <c r="A31" s="124"/>
      <c r="B31" s="124"/>
      <c r="C31" s="124"/>
      <c r="D31" s="124"/>
      <c r="E31" s="158"/>
      <c r="F31" s="124"/>
      <c r="G31" s="148"/>
    </row>
    <row r="32" spans="1:14">
      <c r="A32" s="124" t="s">
        <v>130</v>
      </c>
      <c r="B32" s="124"/>
      <c r="C32" s="124"/>
      <c r="D32" s="124"/>
      <c r="E32" s="158">
        <f>E28-E30</f>
        <v>167500</v>
      </c>
      <c r="F32" s="164">
        <f>E32/E28</f>
        <v>0.23583245336149244</v>
      </c>
      <c r="G32" s="148"/>
    </row>
  </sheetData>
  <mergeCells count="3">
    <mergeCell ref="G3:J3"/>
    <mergeCell ref="K3:N3"/>
    <mergeCell ref="I2:L2"/>
  </mergeCells>
  <pageMargins left="0.7" right="0.7" top="0.75" bottom="0.75" header="0.3" footer="0.3"/>
  <pageSetup paperSize="17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41"/>
  <sheetViews>
    <sheetView zoomScale="75" zoomScaleNormal="75" workbookViewId="0">
      <selection activeCell="I46" sqref="I46"/>
    </sheetView>
  </sheetViews>
  <sheetFormatPr defaultRowHeight="15"/>
  <cols>
    <col min="1" max="1" width="32.7109375" customWidth="1"/>
    <col min="3" max="3" width="11.140625" customWidth="1"/>
    <col min="4" max="4" width="11.85546875" customWidth="1"/>
    <col min="5" max="5" width="13" bestFit="1" customWidth="1"/>
    <col min="6" max="6" width="13.5703125" customWidth="1"/>
    <col min="7" max="7" width="15.42578125" bestFit="1" customWidth="1"/>
    <col min="8" max="12" width="13.140625" customWidth="1"/>
    <col min="13" max="13" width="12.7109375" customWidth="1"/>
    <col min="14" max="14" width="12.140625" bestFit="1" customWidth="1"/>
  </cols>
  <sheetData>
    <row r="1" spans="1:15">
      <c r="A1" t="s">
        <v>152</v>
      </c>
      <c r="I1" s="269" t="s">
        <v>138</v>
      </c>
      <c r="J1" s="270"/>
      <c r="K1" s="270"/>
      <c r="L1" s="271"/>
    </row>
    <row r="2" spans="1:15">
      <c r="G2" s="265" t="s">
        <v>9</v>
      </c>
      <c r="H2" s="266"/>
      <c r="I2" s="266"/>
      <c r="J2" s="266"/>
      <c r="K2" s="265" t="s">
        <v>10</v>
      </c>
      <c r="L2" s="266"/>
      <c r="M2" s="266"/>
      <c r="N2" s="266"/>
      <c r="O2" s="6"/>
    </row>
    <row r="3" spans="1:15">
      <c r="G3" s="22" t="s">
        <v>14</v>
      </c>
      <c r="H3" s="11" t="s">
        <v>15</v>
      </c>
      <c r="I3" s="23" t="s">
        <v>16</v>
      </c>
      <c r="J3" s="23" t="s">
        <v>17</v>
      </c>
      <c r="K3" s="22" t="s">
        <v>14</v>
      </c>
      <c r="L3" s="11" t="s">
        <v>15</v>
      </c>
      <c r="M3" s="23" t="s">
        <v>16</v>
      </c>
      <c r="N3" s="23" t="s">
        <v>17</v>
      </c>
      <c r="O3" s="22"/>
    </row>
    <row r="4" spans="1:15" ht="15.75" thickBot="1">
      <c r="A4" s="13" t="s">
        <v>5</v>
      </c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7"/>
      <c r="H4" s="1"/>
      <c r="I4" s="1"/>
      <c r="J4" s="1"/>
      <c r="K4" s="7"/>
      <c r="L4" s="1"/>
      <c r="M4" s="1"/>
      <c r="N4" s="1"/>
      <c r="O4" s="17"/>
    </row>
    <row r="5" spans="1:15" ht="15.75" thickTop="1">
      <c r="A5" t="s">
        <v>32</v>
      </c>
      <c r="G5" s="6"/>
      <c r="H5" s="3"/>
      <c r="K5" s="6"/>
      <c r="O5" s="17"/>
    </row>
    <row r="6" spans="1:15">
      <c r="A6" s="4"/>
      <c r="G6" s="6"/>
      <c r="H6" s="3"/>
      <c r="K6" s="6"/>
      <c r="O6" s="17"/>
    </row>
    <row r="7" spans="1:15" ht="15.75" thickBot="1">
      <c r="A7" s="2" t="s">
        <v>33</v>
      </c>
      <c r="B7" s="1" t="s">
        <v>132</v>
      </c>
      <c r="C7" s="1"/>
      <c r="D7" s="1"/>
      <c r="E7" s="5"/>
      <c r="F7" s="12"/>
      <c r="G7" s="7"/>
      <c r="H7" s="1"/>
      <c r="I7" s="1"/>
      <c r="J7" s="1"/>
      <c r="K7" s="7"/>
      <c r="L7" s="1"/>
      <c r="M7" s="1"/>
      <c r="N7" s="1"/>
      <c r="O7" s="17"/>
    </row>
    <row r="8" spans="1:15" s="15" customFormat="1" ht="15.75" thickTop="1">
      <c r="A8" s="18" t="s">
        <v>34</v>
      </c>
      <c r="B8" s="24" t="s">
        <v>35</v>
      </c>
      <c r="F8" s="16"/>
      <c r="G8" s="17"/>
      <c r="H8" s="14"/>
      <c r="K8" s="17"/>
      <c r="O8" s="17"/>
    </row>
    <row r="9" spans="1:15" s="15" customFormat="1">
      <c r="A9" s="19" t="s">
        <v>36</v>
      </c>
      <c r="B9" s="24"/>
      <c r="C9" s="62" t="s">
        <v>37</v>
      </c>
      <c r="D9" s="63"/>
      <c r="E9" s="63"/>
      <c r="F9" s="64" t="s">
        <v>37</v>
      </c>
      <c r="G9" s="65" t="s">
        <v>38</v>
      </c>
      <c r="H9" s="66"/>
      <c r="K9" s="17"/>
      <c r="O9" s="17"/>
    </row>
    <row r="10" spans="1:15" s="15" customFormat="1">
      <c r="A10" s="19" t="s">
        <v>39</v>
      </c>
      <c r="B10" s="24"/>
      <c r="C10" s="24" t="s">
        <v>40</v>
      </c>
      <c r="E10" s="25"/>
      <c r="F10" s="16" t="s">
        <v>40</v>
      </c>
      <c r="G10" s="26"/>
      <c r="H10" s="27"/>
      <c r="I10" s="15" t="s">
        <v>41</v>
      </c>
      <c r="K10" s="17"/>
      <c r="O10" s="17"/>
    </row>
    <row r="11" spans="1:15" s="15" customFormat="1">
      <c r="A11" s="28" t="s">
        <v>42</v>
      </c>
      <c r="B11" s="24" t="s">
        <v>35</v>
      </c>
      <c r="C11" s="24"/>
      <c r="E11" s="25"/>
      <c r="F11" s="16"/>
      <c r="G11" s="26"/>
      <c r="H11" s="27"/>
      <c r="K11" s="17"/>
      <c r="O11" s="17"/>
    </row>
    <row r="12" spans="1:15" s="15" customFormat="1">
      <c r="A12" s="19" t="s">
        <v>43</v>
      </c>
      <c r="B12" s="24"/>
      <c r="C12" s="24" t="s">
        <v>40</v>
      </c>
      <c r="E12" s="25"/>
      <c r="F12" s="16" t="s">
        <v>40</v>
      </c>
      <c r="G12" s="17" t="s">
        <v>44</v>
      </c>
      <c r="H12" s="14"/>
      <c r="K12" s="17"/>
      <c r="O12" s="17"/>
    </row>
    <row r="13" spans="1:15" s="15" customFormat="1">
      <c r="A13" s="19" t="s">
        <v>45</v>
      </c>
      <c r="B13" s="24"/>
      <c r="C13" s="24" t="s">
        <v>40</v>
      </c>
      <c r="E13" s="25"/>
      <c r="F13" s="16" t="s">
        <v>40</v>
      </c>
      <c r="G13" s="17" t="s">
        <v>44</v>
      </c>
      <c r="H13" s="14"/>
      <c r="K13" s="17"/>
      <c r="O13" s="17"/>
    </row>
    <row r="14" spans="1:15" s="15" customFormat="1">
      <c r="A14" s="28" t="s">
        <v>46</v>
      </c>
      <c r="B14" s="24" t="s">
        <v>35</v>
      </c>
      <c r="F14" s="16"/>
      <c r="G14" s="17"/>
      <c r="H14" s="14"/>
      <c r="K14" s="17"/>
      <c r="O14" s="17"/>
    </row>
    <row r="15" spans="1:15" s="15" customFormat="1">
      <c r="A15" s="19" t="s">
        <v>43</v>
      </c>
      <c r="C15" s="24" t="s">
        <v>40</v>
      </c>
      <c r="E15" s="25"/>
      <c r="F15" s="16" t="s">
        <v>40</v>
      </c>
      <c r="G15" s="17" t="s">
        <v>44</v>
      </c>
      <c r="H15" s="14"/>
      <c r="K15" s="17"/>
      <c r="O15" s="17"/>
    </row>
    <row r="16" spans="1:15" s="15" customFormat="1">
      <c r="A16" s="19" t="s">
        <v>45</v>
      </c>
      <c r="C16" s="24" t="s">
        <v>40</v>
      </c>
      <c r="E16" s="25"/>
      <c r="F16" s="16" t="s">
        <v>40</v>
      </c>
      <c r="G16" s="17" t="s">
        <v>44</v>
      </c>
      <c r="H16" s="14"/>
      <c r="K16" s="17"/>
      <c r="O16" s="17"/>
    </row>
    <row r="17" spans="1:15" s="15" customFormat="1">
      <c r="A17" s="19"/>
      <c r="C17" s="24"/>
      <c r="E17" s="25"/>
      <c r="F17" s="16"/>
      <c r="G17" s="17"/>
      <c r="H17" s="14"/>
      <c r="K17" s="17"/>
      <c r="O17" s="17"/>
    </row>
    <row r="18" spans="1:15" s="15" customFormat="1">
      <c r="A18" s="28" t="s">
        <v>133</v>
      </c>
      <c r="C18" s="24"/>
      <c r="E18" s="31"/>
      <c r="F18" s="16"/>
      <c r="G18" s="17"/>
      <c r="H18" s="14"/>
      <c r="K18" s="17"/>
      <c r="O18" s="17"/>
    </row>
    <row r="19" spans="1:15" s="15" customFormat="1">
      <c r="A19" s="19"/>
      <c r="C19" s="24"/>
      <c r="E19" s="25"/>
      <c r="F19" s="16"/>
      <c r="G19" s="17"/>
      <c r="H19" s="14"/>
      <c r="K19" s="17"/>
      <c r="O19" s="17"/>
    </row>
    <row r="20" spans="1:15" s="15" customFormat="1">
      <c r="A20" s="14"/>
      <c r="F20" s="16"/>
      <c r="G20" s="17"/>
      <c r="H20" s="14"/>
      <c r="K20" s="17"/>
      <c r="O20" s="17"/>
    </row>
    <row r="21" spans="1:15" ht="15.75" thickBot="1">
      <c r="A21" s="2" t="s">
        <v>47</v>
      </c>
      <c r="B21" s="1"/>
      <c r="C21" s="1"/>
      <c r="D21" s="1"/>
      <c r="E21" s="68" t="s">
        <v>128</v>
      </c>
      <c r="F21" s="82" t="s">
        <v>51</v>
      </c>
      <c r="G21" s="7"/>
      <c r="H21" s="1"/>
      <c r="I21" s="1"/>
      <c r="J21" s="1"/>
      <c r="K21" s="7"/>
      <c r="L21" s="1"/>
      <c r="M21" s="1"/>
      <c r="N21" s="1"/>
      <c r="O21" s="17"/>
    </row>
    <row r="22" spans="1:15" s="15" customFormat="1" ht="15.75" thickTop="1">
      <c r="A22" s="18" t="s">
        <v>48</v>
      </c>
      <c r="B22" s="15" t="s">
        <v>24</v>
      </c>
      <c r="F22" s="16"/>
      <c r="G22" s="17"/>
      <c r="H22" s="14"/>
      <c r="K22" s="17"/>
      <c r="O22" s="17"/>
    </row>
    <row r="23" spans="1:15" s="15" customFormat="1">
      <c r="A23" s="19" t="s">
        <v>49</v>
      </c>
      <c r="E23" s="25">
        <v>2622896</v>
      </c>
      <c r="F23" s="80" t="s">
        <v>40</v>
      </c>
      <c r="G23" s="17"/>
      <c r="H23" s="14"/>
      <c r="I23" s="25">
        <f>$E23/4</f>
        <v>655724</v>
      </c>
      <c r="J23" s="25">
        <f t="shared" ref="J23:L24" si="0">$E23/4</f>
        <v>655724</v>
      </c>
      <c r="K23" s="26">
        <f t="shared" si="0"/>
        <v>655724</v>
      </c>
      <c r="L23" s="25">
        <f t="shared" si="0"/>
        <v>655724</v>
      </c>
      <c r="M23" s="25"/>
      <c r="O23" s="17"/>
    </row>
    <row r="24" spans="1:15" s="29" customFormat="1">
      <c r="A24" s="19" t="s">
        <v>50</v>
      </c>
      <c r="E24" s="25">
        <f>4215983-SUM(E26:E30)-F33</f>
        <v>3487153</v>
      </c>
      <c r="F24" s="80" t="s">
        <v>51</v>
      </c>
      <c r="G24" s="30"/>
      <c r="H24" s="19"/>
      <c r="I24" s="25">
        <f>$E24/4</f>
        <v>871788.25</v>
      </c>
      <c r="J24" s="25">
        <f t="shared" si="0"/>
        <v>871788.25</v>
      </c>
      <c r="K24" s="26">
        <f t="shared" si="0"/>
        <v>871788.25</v>
      </c>
      <c r="L24" s="25">
        <f t="shared" si="0"/>
        <v>871788.25</v>
      </c>
      <c r="M24" s="25"/>
      <c r="O24" s="30"/>
    </row>
    <row r="25" spans="1:15" s="15" customFormat="1">
      <c r="A25" s="18" t="s">
        <v>42</v>
      </c>
      <c r="B25" s="15" t="s">
        <v>24</v>
      </c>
      <c r="F25" s="80"/>
      <c r="G25" s="180"/>
      <c r="H25" s="14"/>
      <c r="K25" s="17"/>
      <c r="O25" s="17"/>
    </row>
    <row r="26" spans="1:15" s="15" customFormat="1">
      <c r="A26" s="19" t="s">
        <v>52</v>
      </c>
      <c r="E26" s="25">
        <v>233782</v>
      </c>
      <c r="F26" s="80" t="s">
        <v>51</v>
      </c>
      <c r="G26" s="180">
        <v>233782</v>
      </c>
      <c r="H26" s="14"/>
      <c r="K26" s="17"/>
      <c r="O26" s="17"/>
    </row>
    <row r="27" spans="1:15" s="15" customFormat="1">
      <c r="A27" s="19" t="s">
        <v>53</v>
      </c>
      <c r="E27" s="25">
        <v>15000</v>
      </c>
      <c r="F27" s="80" t="s">
        <v>51</v>
      </c>
      <c r="G27" s="180"/>
      <c r="H27" s="27">
        <v>15000</v>
      </c>
      <c r="K27" s="17"/>
      <c r="O27" s="17"/>
    </row>
    <row r="28" spans="1:15" s="15" customFormat="1">
      <c r="A28" s="18" t="s">
        <v>46</v>
      </c>
      <c r="B28" s="15" t="s">
        <v>24</v>
      </c>
      <c r="F28" s="80"/>
      <c r="G28" s="180"/>
      <c r="H28" s="14"/>
      <c r="K28" s="17"/>
      <c r="O28" s="17"/>
    </row>
    <row r="29" spans="1:15" s="15" customFormat="1">
      <c r="A29" s="19" t="s">
        <v>52</v>
      </c>
      <c r="E29" s="25">
        <v>233782</v>
      </c>
      <c r="F29" s="80" t="s">
        <v>51</v>
      </c>
      <c r="G29" s="180">
        <v>233782</v>
      </c>
      <c r="H29" s="14"/>
      <c r="K29" s="17"/>
      <c r="O29" s="17"/>
    </row>
    <row r="30" spans="1:15" s="15" customFormat="1">
      <c r="A30" s="19" t="s">
        <v>53</v>
      </c>
      <c r="E30" s="25">
        <v>15000</v>
      </c>
      <c r="F30" s="80" t="s">
        <v>51</v>
      </c>
      <c r="G30" s="180"/>
      <c r="H30" s="27">
        <v>15000</v>
      </c>
      <c r="K30" s="17"/>
      <c r="O30" s="17"/>
    </row>
    <row r="31" spans="1:15" s="15" customFormat="1">
      <c r="A31" s="156"/>
      <c r="B31" s="156"/>
      <c r="C31" s="156"/>
      <c r="D31" s="156"/>
      <c r="E31" s="156"/>
      <c r="F31" s="80"/>
      <c r="G31" s="195"/>
      <c r="H31" s="187"/>
      <c r="I31" s="187"/>
      <c r="J31" s="187"/>
      <c r="K31" s="186"/>
      <c r="L31" s="187"/>
      <c r="M31" s="187"/>
      <c r="N31" s="188"/>
      <c r="O31" s="17"/>
    </row>
    <row r="32" spans="1:15">
      <c r="A32" s="67" t="s">
        <v>127</v>
      </c>
      <c r="C32" s="61"/>
      <c r="E32" s="25">
        <f>SUM(E23:E30)</f>
        <v>6607613</v>
      </c>
      <c r="F32" s="81">
        <f>E32*0.62</f>
        <v>4096720.06</v>
      </c>
      <c r="G32" s="196"/>
      <c r="H32" s="3"/>
      <c r="I32" s="3"/>
      <c r="J32" s="3"/>
      <c r="K32" s="3"/>
      <c r="L32" s="3"/>
      <c r="M32" s="3"/>
      <c r="N32" s="3"/>
      <c r="O32" s="3"/>
    </row>
    <row r="33" spans="1:15">
      <c r="A33" t="s">
        <v>125</v>
      </c>
      <c r="F33" s="81">
        <v>231266</v>
      </c>
      <c r="G33" s="196">
        <f>0.035*(SUM(G23:G31))</f>
        <v>16364.740000000002</v>
      </c>
      <c r="H33" s="196">
        <f t="shared" ref="H33:L33" si="1">0.035*(SUM(H23:H31))</f>
        <v>1050</v>
      </c>
      <c r="I33" s="196">
        <f t="shared" si="1"/>
        <v>53462.928750000006</v>
      </c>
      <c r="J33" s="196">
        <f t="shared" si="1"/>
        <v>53462.928750000006</v>
      </c>
      <c r="K33" s="196">
        <f t="shared" si="1"/>
        <v>53462.928750000006</v>
      </c>
      <c r="L33" s="196">
        <f t="shared" si="1"/>
        <v>53462.928750000006</v>
      </c>
      <c r="M33" s="3"/>
      <c r="N33" s="197">
        <f>SUM(G33:L33)</f>
        <v>231266.45500000002</v>
      </c>
      <c r="O33" s="3"/>
    </row>
    <row r="34" spans="1:15">
      <c r="A34" t="s">
        <v>126</v>
      </c>
      <c r="E34" s="25">
        <f>E32+F33</f>
        <v>6838879</v>
      </c>
      <c r="F34" s="81">
        <f>SUM(E24:E30)+F33</f>
        <v>4215983</v>
      </c>
      <c r="G34" s="196"/>
      <c r="H34" s="3"/>
      <c r="I34" s="3"/>
      <c r="J34" s="3"/>
      <c r="K34" s="3"/>
      <c r="L34" s="3"/>
      <c r="M34" s="3"/>
      <c r="N34" s="3"/>
      <c r="O34" s="3"/>
    </row>
    <row r="35" spans="1:15">
      <c r="F35" s="15"/>
      <c r="G35" s="196"/>
      <c r="H35" s="3"/>
      <c r="I35" s="3"/>
      <c r="J35" s="3"/>
      <c r="K35" s="3"/>
      <c r="L35" s="3"/>
      <c r="M35" s="3"/>
      <c r="N35" s="3"/>
      <c r="O35" s="3"/>
    </row>
    <row r="36" spans="1:15">
      <c r="G36" s="31"/>
      <c r="H36" s="31"/>
      <c r="I36" s="31"/>
      <c r="J36" s="31"/>
      <c r="K36" s="31"/>
      <c r="L36" s="31"/>
    </row>
    <row r="37" spans="1:15">
      <c r="A37" t="s">
        <v>20</v>
      </c>
      <c r="D37" s="10"/>
      <c r="E37" s="190">
        <f>E34+SUM(E9:E16)</f>
        <v>6838879</v>
      </c>
      <c r="G37" s="31">
        <f>SUM(G23:G36)+SUM(E10:E16)</f>
        <v>483928.74</v>
      </c>
      <c r="H37" s="31">
        <f t="shared" ref="H37:L37" si="2">SUM(H23:H36)+SUM(F10:F16)</f>
        <v>31050</v>
      </c>
      <c r="I37" s="31">
        <f t="shared" si="2"/>
        <v>1580975.17875</v>
      </c>
      <c r="J37" s="31">
        <f t="shared" si="2"/>
        <v>1580975.17875</v>
      </c>
      <c r="K37" s="31">
        <f t="shared" si="2"/>
        <v>1580975.17875</v>
      </c>
      <c r="L37" s="31">
        <f t="shared" si="2"/>
        <v>1580975.17875</v>
      </c>
      <c r="N37" s="90">
        <f>SUM(G37:M37)</f>
        <v>6838879.4550000001</v>
      </c>
    </row>
    <row r="38" spans="1:15">
      <c r="D38" s="10"/>
      <c r="E38" s="31"/>
    </row>
    <row r="39" spans="1:15">
      <c r="A39" t="s">
        <v>129</v>
      </c>
      <c r="D39" s="10"/>
      <c r="E39" s="31">
        <f>F34</f>
        <v>4215983</v>
      </c>
      <c r="F39" s="60">
        <f>E39/E37</f>
        <v>0.61647281667068532</v>
      </c>
    </row>
    <row r="40" spans="1:15">
      <c r="D40" s="10"/>
      <c r="E40" s="31"/>
      <c r="F40" s="60"/>
    </row>
    <row r="41" spans="1:15">
      <c r="A41" t="s">
        <v>130</v>
      </c>
      <c r="D41" s="10"/>
      <c r="E41" s="31">
        <f>E37-E39</f>
        <v>2622896</v>
      </c>
      <c r="F41" s="60">
        <f>E41/E37</f>
        <v>0.38352718332931462</v>
      </c>
    </row>
  </sheetData>
  <mergeCells count="3">
    <mergeCell ref="I1:L1"/>
    <mergeCell ref="G2:J2"/>
    <mergeCell ref="K2:N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P65"/>
  <sheetViews>
    <sheetView zoomScale="75" zoomScaleNormal="75" workbookViewId="0">
      <selection activeCell="D4" sqref="D4"/>
    </sheetView>
  </sheetViews>
  <sheetFormatPr defaultRowHeight="15"/>
  <cols>
    <col min="1" max="1" width="35.85546875" customWidth="1"/>
    <col min="2" max="2" width="12.42578125" customWidth="1"/>
    <col min="3" max="3" width="20.42578125" customWidth="1"/>
    <col min="4" max="4" width="23.42578125" customWidth="1"/>
    <col min="5" max="5" width="15.140625" customWidth="1"/>
    <col min="9" max="9" width="13.85546875" customWidth="1"/>
    <col min="10" max="15" width="11.28515625" customWidth="1"/>
  </cols>
  <sheetData>
    <row r="1" spans="1:15">
      <c r="A1" t="s">
        <v>152</v>
      </c>
    </row>
    <row r="2" spans="1:15">
      <c r="I2" s="269" t="s">
        <v>138</v>
      </c>
      <c r="J2" s="270"/>
      <c r="K2" s="270"/>
      <c r="L2" s="271"/>
    </row>
    <row r="3" spans="1:15">
      <c r="G3" s="265" t="s">
        <v>9</v>
      </c>
      <c r="H3" s="266"/>
      <c r="I3" s="266"/>
      <c r="J3" s="266"/>
      <c r="K3" s="265" t="s">
        <v>10</v>
      </c>
      <c r="L3" s="267"/>
      <c r="M3" s="267"/>
      <c r="N3" s="268"/>
    </row>
    <row r="4" spans="1:15">
      <c r="G4" s="40" t="s">
        <v>14</v>
      </c>
      <c r="H4" s="11" t="s">
        <v>15</v>
      </c>
      <c r="I4" s="41" t="s">
        <v>16</v>
      </c>
      <c r="J4" s="41" t="s">
        <v>17</v>
      </c>
      <c r="K4" s="91" t="s">
        <v>14</v>
      </c>
      <c r="L4" s="11" t="s">
        <v>15</v>
      </c>
      <c r="M4" s="11" t="s">
        <v>16</v>
      </c>
      <c r="N4" s="92" t="s">
        <v>17</v>
      </c>
    </row>
    <row r="5" spans="1:15" ht="15.75" thickBot="1">
      <c r="A5" s="43" t="s">
        <v>5</v>
      </c>
      <c r="B5" s="43" t="s">
        <v>0</v>
      </c>
      <c r="C5" s="43" t="s">
        <v>1</v>
      </c>
      <c r="D5" s="43" t="s">
        <v>2</v>
      </c>
      <c r="E5" s="43" t="s">
        <v>3</v>
      </c>
      <c r="F5" s="43" t="s">
        <v>4</v>
      </c>
      <c r="G5" s="44"/>
      <c r="H5" s="45"/>
      <c r="I5" s="45"/>
      <c r="J5" s="45"/>
      <c r="K5" s="44"/>
      <c r="L5" s="45"/>
      <c r="M5" s="45"/>
      <c r="N5" s="112"/>
    </row>
    <row r="6" spans="1:15" ht="15.75" thickTop="1">
      <c r="A6" t="s">
        <v>87</v>
      </c>
      <c r="G6" s="6"/>
      <c r="H6" s="3"/>
      <c r="K6" s="6"/>
      <c r="L6" s="3"/>
      <c r="M6" s="3"/>
      <c r="N6" s="49"/>
    </row>
    <row r="7" spans="1:15">
      <c r="A7" s="4"/>
      <c r="G7" s="6"/>
      <c r="H7" s="3"/>
      <c r="K7" s="6"/>
      <c r="L7" s="3"/>
      <c r="M7" s="3"/>
      <c r="N7" s="49"/>
    </row>
    <row r="8" spans="1:15" ht="15.75" thickBot="1">
      <c r="A8" s="46" t="s">
        <v>88</v>
      </c>
      <c r="B8" s="45"/>
      <c r="C8" s="45"/>
      <c r="D8" s="45"/>
      <c r="E8" s="50">
        <f>SUM(E11:E57)</f>
        <v>283600.34999999998</v>
      </c>
      <c r="F8" s="78" t="s">
        <v>51</v>
      </c>
      <c r="G8" s="44"/>
      <c r="H8" s="45"/>
      <c r="I8" s="45"/>
      <c r="J8" s="45"/>
      <c r="K8" s="44"/>
      <c r="L8" s="45"/>
      <c r="M8" s="45"/>
      <c r="N8" s="112"/>
    </row>
    <row r="9" spans="1:15" s="15" customFormat="1" ht="15.75" thickTop="1">
      <c r="A9" s="48" t="s">
        <v>89</v>
      </c>
      <c r="F9" s="80"/>
      <c r="G9" s="17"/>
      <c r="H9" s="14"/>
      <c r="K9" s="17"/>
      <c r="L9" s="14"/>
      <c r="M9" s="14"/>
      <c r="N9" s="97"/>
    </row>
    <row r="10" spans="1:15" s="15" customFormat="1">
      <c r="A10" s="48"/>
      <c r="F10" s="80"/>
      <c r="G10" s="17"/>
      <c r="H10" s="14"/>
      <c r="K10" s="17"/>
      <c r="L10" s="14"/>
      <c r="M10" s="14"/>
      <c r="N10" s="97"/>
    </row>
    <row r="11" spans="1:15" s="15" customFormat="1">
      <c r="A11" s="51" t="s">
        <v>90</v>
      </c>
      <c r="F11" s="80"/>
      <c r="G11" s="17"/>
      <c r="H11" s="14"/>
      <c r="I11" s="209"/>
      <c r="J11" s="209"/>
      <c r="K11" s="89"/>
      <c r="L11" s="33"/>
      <c r="M11" s="33"/>
      <c r="N11" s="97"/>
      <c r="O11" s="14"/>
    </row>
    <row r="12" spans="1:15" s="15" customFormat="1">
      <c r="A12" s="52" t="s">
        <v>91</v>
      </c>
      <c r="B12" s="15" t="s">
        <v>92</v>
      </c>
      <c r="C12" s="15" t="s">
        <v>93</v>
      </c>
      <c r="D12" s="15" t="s">
        <v>94</v>
      </c>
      <c r="E12" s="53">
        <v>11600</v>
      </c>
      <c r="F12" s="80"/>
      <c r="G12" s="17"/>
      <c r="H12" s="14"/>
      <c r="I12" s="209">
        <v>5800</v>
      </c>
      <c r="J12" s="209">
        <v>5800</v>
      </c>
      <c r="K12" s="89"/>
      <c r="L12" s="209"/>
      <c r="M12" s="209"/>
      <c r="O12" s="17"/>
    </row>
    <row r="13" spans="1:15" s="15" customFormat="1">
      <c r="A13" s="52" t="s">
        <v>95</v>
      </c>
      <c r="B13" s="15" t="s">
        <v>96</v>
      </c>
      <c r="C13" s="15" t="s">
        <v>93</v>
      </c>
      <c r="D13" s="15" t="s">
        <v>7</v>
      </c>
      <c r="E13" s="53">
        <v>7500</v>
      </c>
      <c r="F13" s="84"/>
      <c r="G13" s="17"/>
      <c r="H13" s="14"/>
      <c r="I13" s="209"/>
      <c r="J13" s="209">
        <v>3750</v>
      </c>
      <c r="K13" s="89">
        <v>3750</v>
      </c>
      <c r="L13" s="209"/>
      <c r="M13" s="209"/>
      <c r="O13" s="17"/>
    </row>
    <row r="14" spans="1:15" s="15" customFormat="1">
      <c r="A14" s="52" t="s">
        <v>97</v>
      </c>
      <c r="B14" s="15" t="s">
        <v>96</v>
      </c>
      <c r="C14" s="15" t="s">
        <v>93</v>
      </c>
      <c r="D14" s="15" t="s">
        <v>7</v>
      </c>
      <c r="E14" s="53">
        <v>2000</v>
      </c>
      <c r="F14" s="80"/>
      <c r="G14" s="17"/>
      <c r="H14" s="14"/>
      <c r="I14" s="209"/>
      <c r="J14" s="209"/>
      <c r="K14" s="89"/>
      <c r="L14" s="209">
        <v>2000</v>
      </c>
      <c r="M14" s="209"/>
      <c r="O14" s="17"/>
    </row>
    <row r="15" spans="1:15" s="15" customFormat="1">
      <c r="A15" s="52" t="s">
        <v>98</v>
      </c>
      <c r="C15" s="15" t="s">
        <v>93</v>
      </c>
      <c r="D15" s="15" t="s">
        <v>160</v>
      </c>
      <c r="E15" s="53">
        <v>5199.3500000000004</v>
      </c>
      <c r="F15" s="80"/>
      <c r="G15" s="17"/>
      <c r="H15" s="14"/>
      <c r="I15" s="209">
        <v>1300</v>
      </c>
      <c r="J15" s="209">
        <v>1300</v>
      </c>
      <c r="K15" s="89">
        <v>1300</v>
      </c>
      <c r="L15" s="209">
        <v>1299</v>
      </c>
      <c r="M15" s="209"/>
      <c r="O15" s="17"/>
    </row>
    <row r="16" spans="1:15" s="15" customFormat="1">
      <c r="A16" s="54"/>
      <c r="F16" s="80"/>
      <c r="G16" s="17"/>
      <c r="H16" s="14"/>
      <c r="I16" s="209"/>
      <c r="J16" s="209"/>
      <c r="K16" s="89"/>
      <c r="L16" s="209"/>
      <c r="M16" s="209"/>
      <c r="O16" s="17"/>
    </row>
    <row r="17" spans="1:15" s="15" customFormat="1">
      <c r="A17" s="51" t="s">
        <v>99</v>
      </c>
      <c r="F17" s="80"/>
      <c r="G17" s="17"/>
      <c r="H17" s="14"/>
      <c r="I17" s="209"/>
      <c r="J17" s="209"/>
      <c r="K17" s="89"/>
      <c r="L17" s="209"/>
      <c r="M17" s="209"/>
      <c r="O17" s="17"/>
    </row>
    <row r="18" spans="1:15" s="15" customFormat="1">
      <c r="A18" s="52" t="s">
        <v>91</v>
      </c>
      <c r="B18" s="15" t="s">
        <v>92</v>
      </c>
      <c r="C18" s="15" t="s">
        <v>93</v>
      </c>
      <c r="D18" s="15" t="s">
        <v>94</v>
      </c>
      <c r="E18" s="53">
        <v>11600</v>
      </c>
      <c r="F18" s="80"/>
      <c r="G18" s="17"/>
      <c r="H18" s="14"/>
      <c r="I18" s="209">
        <v>5800</v>
      </c>
      <c r="J18" s="209">
        <v>5800</v>
      </c>
      <c r="K18" s="89"/>
      <c r="L18" s="209"/>
      <c r="M18" s="209"/>
      <c r="O18" s="17"/>
    </row>
    <row r="19" spans="1:15" s="15" customFormat="1">
      <c r="A19" s="52" t="s">
        <v>95</v>
      </c>
      <c r="B19" s="15" t="s">
        <v>96</v>
      </c>
      <c r="C19" s="15" t="s">
        <v>93</v>
      </c>
      <c r="D19" s="15" t="s">
        <v>7</v>
      </c>
      <c r="E19" s="53">
        <v>7500</v>
      </c>
      <c r="F19" s="80"/>
      <c r="G19" s="17"/>
      <c r="H19" s="14"/>
      <c r="I19" s="209"/>
      <c r="J19" s="209">
        <v>3750</v>
      </c>
      <c r="K19" s="89">
        <v>3750</v>
      </c>
      <c r="L19" s="209"/>
      <c r="M19" s="209"/>
      <c r="O19" s="17"/>
    </row>
    <row r="20" spans="1:15" s="15" customFormat="1">
      <c r="A20" s="52" t="s">
        <v>97</v>
      </c>
      <c r="B20" s="15" t="s">
        <v>96</v>
      </c>
      <c r="C20" s="15" t="s">
        <v>93</v>
      </c>
      <c r="D20" s="15" t="s">
        <v>7</v>
      </c>
      <c r="E20" s="53">
        <v>2000</v>
      </c>
      <c r="F20" s="80"/>
      <c r="G20" s="17"/>
      <c r="H20" s="14"/>
      <c r="I20" s="209"/>
      <c r="J20" s="209"/>
      <c r="K20" s="89"/>
      <c r="L20" s="209">
        <v>2000</v>
      </c>
      <c r="M20" s="209"/>
      <c r="O20" s="17"/>
    </row>
    <row r="21" spans="1:15" s="15" customFormat="1">
      <c r="A21" s="52" t="s">
        <v>98</v>
      </c>
      <c r="B21" s="15" t="s">
        <v>96</v>
      </c>
      <c r="C21" s="15" t="s">
        <v>93</v>
      </c>
      <c r="D21" s="15" t="s">
        <v>160</v>
      </c>
      <c r="E21" s="53">
        <v>5882.45</v>
      </c>
      <c r="F21" s="80"/>
      <c r="G21" s="17"/>
      <c r="H21" s="14"/>
      <c r="I21" s="209">
        <v>1470</v>
      </c>
      <c r="J21" s="209">
        <v>1470</v>
      </c>
      <c r="K21" s="89">
        <v>1470</v>
      </c>
      <c r="L21" s="209">
        <v>1473</v>
      </c>
      <c r="M21" s="209"/>
      <c r="O21" s="17"/>
    </row>
    <row r="22" spans="1:15" s="15" customFormat="1">
      <c r="A22" s="54"/>
      <c r="F22" s="80"/>
      <c r="G22" s="17"/>
      <c r="H22" s="14"/>
      <c r="I22" s="209"/>
      <c r="J22" s="209"/>
      <c r="K22" s="89"/>
      <c r="L22" s="209"/>
      <c r="M22" s="209"/>
      <c r="O22" s="17"/>
    </row>
    <row r="23" spans="1:15" s="15" customFormat="1">
      <c r="A23" s="51" t="s">
        <v>100</v>
      </c>
      <c r="F23" s="80"/>
      <c r="G23" s="17"/>
      <c r="H23" s="14"/>
      <c r="I23" s="209"/>
      <c r="J23" s="209"/>
      <c r="K23" s="89"/>
      <c r="L23" s="209"/>
      <c r="M23" s="209"/>
      <c r="O23" s="17"/>
    </row>
    <row r="24" spans="1:15" s="15" customFormat="1">
      <c r="A24" s="52" t="s">
        <v>91</v>
      </c>
      <c r="B24" s="15" t="s">
        <v>92</v>
      </c>
      <c r="C24" s="15" t="s">
        <v>93</v>
      </c>
      <c r="D24" s="15" t="s">
        <v>94</v>
      </c>
      <c r="E24" s="53">
        <v>11600</v>
      </c>
      <c r="F24" s="80"/>
      <c r="G24" s="17"/>
      <c r="H24" s="14"/>
      <c r="I24" s="209">
        <v>5800</v>
      </c>
      <c r="J24" s="209">
        <v>5800</v>
      </c>
      <c r="K24" s="89"/>
      <c r="L24" s="209"/>
      <c r="M24" s="209"/>
      <c r="O24" s="17"/>
    </row>
    <row r="25" spans="1:15" s="15" customFormat="1">
      <c r="A25" s="52" t="s">
        <v>95</v>
      </c>
      <c r="B25" s="15" t="s">
        <v>96</v>
      </c>
      <c r="C25" s="15" t="s">
        <v>93</v>
      </c>
      <c r="D25" s="15" t="s">
        <v>7</v>
      </c>
      <c r="E25" s="53">
        <v>7500</v>
      </c>
      <c r="F25" s="80"/>
      <c r="G25" s="17"/>
      <c r="H25" s="14"/>
      <c r="I25" s="209"/>
      <c r="J25" s="209">
        <v>3750</v>
      </c>
      <c r="K25" s="89">
        <v>3750</v>
      </c>
      <c r="L25" s="209"/>
      <c r="M25" s="209"/>
      <c r="O25" s="17"/>
    </row>
    <row r="26" spans="1:15" s="15" customFormat="1">
      <c r="A26" s="52" t="s">
        <v>97</v>
      </c>
      <c r="B26" s="15" t="s">
        <v>96</v>
      </c>
      <c r="C26" s="15" t="s">
        <v>93</v>
      </c>
      <c r="D26" s="15" t="s">
        <v>7</v>
      </c>
      <c r="E26" s="53">
        <v>2000</v>
      </c>
      <c r="F26" s="80"/>
      <c r="G26" s="17"/>
      <c r="H26" s="14"/>
      <c r="I26" s="209"/>
      <c r="J26" s="209"/>
      <c r="K26" s="89"/>
      <c r="L26" s="209">
        <v>2000</v>
      </c>
      <c r="M26" s="209"/>
      <c r="O26" s="17"/>
    </row>
    <row r="27" spans="1:15" s="15" customFormat="1">
      <c r="A27" s="52" t="s">
        <v>98</v>
      </c>
      <c r="B27" s="15" t="s">
        <v>96</v>
      </c>
      <c r="C27" s="15" t="s">
        <v>93</v>
      </c>
      <c r="D27" s="15" t="s">
        <v>160</v>
      </c>
      <c r="E27" s="53">
        <v>5199.3500000000004</v>
      </c>
      <c r="F27" s="80"/>
      <c r="G27" s="17"/>
      <c r="H27" s="14"/>
      <c r="I27" s="209">
        <v>1300</v>
      </c>
      <c r="J27" s="209">
        <v>1300</v>
      </c>
      <c r="K27" s="89">
        <v>1300</v>
      </c>
      <c r="L27" s="209">
        <v>1299</v>
      </c>
      <c r="M27" s="209"/>
      <c r="O27" s="17"/>
    </row>
    <row r="28" spans="1:15" s="15" customFormat="1">
      <c r="A28" s="54"/>
      <c r="F28" s="80"/>
      <c r="G28" s="17"/>
      <c r="H28" s="14"/>
      <c r="I28" s="209"/>
      <c r="J28" s="209"/>
      <c r="K28" s="89"/>
      <c r="L28" s="209"/>
      <c r="M28" s="209"/>
      <c r="O28" s="17"/>
    </row>
    <row r="29" spans="1:15" s="15" customFormat="1">
      <c r="A29" s="51" t="s">
        <v>101</v>
      </c>
      <c r="F29" s="80"/>
      <c r="G29" s="17"/>
      <c r="H29" s="14"/>
      <c r="I29" s="209"/>
      <c r="J29" s="209"/>
      <c r="K29" s="89"/>
      <c r="L29" s="209"/>
      <c r="M29" s="209"/>
      <c r="O29" s="17"/>
    </row>
    <row r="30" spans="1:15" s="15" customFormat="1">
      <c r="A30" s="52" t="s">
        <v>91</v>
      </c>
      <c r="B30" s="15" t="s">
        <v>92</v>
      </c>
      <c r="C30" s="15" t="s">
        <v>93</v>
      </c>
      <c r="D30" s="15" t="s">
        <v>94</v>
      </c>
      <c r="E30" s="53">
        <v>11600</v>
      </c>
      <c r="F30" s="80"/>
      <c r="G30" s="17"/>
      <c r="H30" s="14"/>
      <c r="I30" s="209">
        <v>5800</v>
      </c>
      <c r="J30" s="209">
        <v>5800</v>
      </c>
      <c r="K30" s="89"/>
      <c r="L30" s="209"/>
      <c r="M30" s="209"/>
      <c r="O30" s="17"/>
    </row>
    <row r="31" spans="1:15" s="15" customFormat="1">
      <c r="A31" s="52" t="s">
        <v>95</v>
      </c>
      <c r="B31" s="15" t="s">
        <v>96</v>
      </c>
      <c r="C31" s="15" t="s">
        <v>93</v>
      </c>
      <c r="D31" s="15" t="s">
        <v>7</v>
      </c>
      <c r="E31" s="53">
        <v>7500</v>
      </c>
      <c r="F31" s="80"/>
      <c r="G31" s="17"/>
      <c r="H31" s="14"/>
      <c r="I31" s="209"/>
      <c r="J31" s="209">
        <v>3750</v>
      </c>
      <c r="K31" s="89">
        <v>3750</v>
      </c>
      <c r="L31" s="209"/>
      <c r="M31" s="209"/>
      <c r="O31" s="17"/>
    </row>
    <row r="32" spans="1:15" s="15" customFormat="1">
      <c r="A32" s="52" t="s">
        <v>97</v>
      </c>
      <c r="B32" s="15" t="s">
        <v>96</v>
      </c>
      <c r="C32" s="15" t="s">
        <v>93</v>
      </c>
      <c r="D32" s="15" t="s">
        <v>7</v>
      </c>
      <c r="E32" s="53">
        <v>2000</v>
      </c>
      <c r="F32" s="80"/>
      <c r="G32" s="17"/>
      <c r="H32" s="14"/>
      <c r="I32" s="209"/>
      <c r="J32" s="209"/>
      <c r="K32" s="89"/>
      <c r="L32" s="209">
        <v>2000</v>
      </c>
      <c r="M32" s="209"/>
      <c r="O32" s="17"/>
    </row>
    <row r="33" spans="1:15" s="15" customFormat="1">
      <c r="A33" s="52" t="s">
        <v>98</v>
      </c>
      <c r="B33" s="15" t="s">
        <v>96</v>
      </c>
      <c r="C33" s="15" t="s">
        <v>93</v>
      </c>
      <c r="D33" s="15" t="s">
        <v>160</v>
      </c>
      <c r="E33" s="53">
        <v>5199.3500000000004</v>
      </c>
      <c r="F33" s="80"/>
      <c r="G33" s="17"/>
      <c r="H33" s="14"/>
      <c r="I33" s="209">
        <v>1300</v>
      </c>
      <c r="J33" s="209">
        <v>1300</v>
      </c>
      <c r="K33" s="89">
        <v>1300</v>
      </c>
      <c r="L33" s="209">
        <v>1299</v>
      </c>
      <c r="M33" s="209"/>
      <c r="O33" s="17"/>
    </row>
    <row r="34" spans="1:15" s="15" customFormat="1">
      <c r="A34" s="54"/>
      <c r="E34" s="53"/>
      <c r="F34" s="80"/>
      <c r="G34" s="17"/>
      <c r="H34" s="14"/>
      <c r="I34" s="209"/>
      <c r="J34" s="209"/>
      <c r="K34" s="89"/>
      <c r="L34" s="209"/>
      <c r="M34" s="209"/>
      <c r="O34" s="17"/>
    </row>
    <row r="35" spans="1:15" s="15" customFormat="1">
      <c r="A35" s="51" t="s">
        <v>102</v>
      </c>
      <c r="F35" s="80"/>
      <c r="G35" s="17"/>
      <c r="H35" s="14"/>
      <c r="I35" s="209"/>
      <c r="J35" s="209"/>
      <c r="K35" s="89"/>
      <c r="L35" s="209"/>
      <c r="M35" s="209"/>
      <c r="O35" s="17"/>
    </row>
    <row r="36" spans="1:15" s="15" customFormat="1">
      <c r="A36" s="52" t="s">
        <v>91</v>
      </c>
      <c r="B36" s="15" t="s">
        <v>92</v>
      </c>
      <c r="C36" s="15" t="s">
        <v>93</v>
      </c>
      <c r="D36" s="15" t="s">
        <v>94</v>
      </c>
      <c r="E36" s="53">
        <v>11600</v>
      </c>
      <c r="F36" s="80"/>
      <c r="G36" s="17"/>
      <c r="H36" s="14"/>
      <c r="I36" s="209">
        <v>5800</v>
      </c>
      <c r="J36" s="209">
        <v>5800</v>
      </c>
      <c r="K36" s="89"/>
      <c r="L36" s="209"/>
      <c r="M36" s="209"/>
      <c r="O36" s="17"/>
    </row>
    <row r="37" spans="1:15" s="15" customFormat="1">
      <c r="A37" s="52" t="s">
        <v>95</v>
      </c>
      <c r="B37" s="15" t="s">
        <v>96</v>
      </c>
      <c r="C37" s="15" t="s">
        <v>93</v>
      </c>
      <c r="D37" s="15" t="s">
        <v>7</v>
      </c>
      <c r="E37" s="53">
        <v>7500</v>
      </c>
      <c r="F37" s="80"/>
      <c r="G37" s="17"/>
      <c r="H37" s="14"/>
      <c r="I37" s="209"/>
      <c r="J37" s="209">
        <v>3750</v>
      </c>
      <c r="K37" s="89">
        <v>3750</v>
      </c>
      <c r="L37" s="209"/>
      <c r="M37" s="209"/>
      <c r="O37" s="17"/>
    </row>
    <row r="38" spans="1:15" s="15" customFormat="1">
      <c r="A38" s="52" t="s">
        <v>97</v>
      </c>
      <c r="B38" s="15" t="s">
        <v>96</v>
      </c>
      <c r="C38" s="15" t="s">
        <v>93</v>
      </c>
      <c r="D38" s="15" t="s">
        <v>7</v>
      </c>
      <c r="E38" s="53">
        <v>2000</v>
      </c>
      <c r="F38" s="80"/>
      <c r="G38" s="17"/>
      <c r="H38" s="14"/>
      <c r="I38" s="209"/>
      <c r="J38" s="209"/>
      <c r="K38" s="89"/>
      <c r="L38" s="209">
        <v>2000</v>
      </c>
      <c r="M38" s="209"/>
      <c r="O38" s="17"/>
    </row>
    <row r="39" spans="1:15" s="15" customFormat="1">
      <c r="A39" s="52" t="s">
        <v>98</v>
      </c>
      <c r="B39" s="15" t="s">
        <v>96</v>
      </c>
      <c r="C39" s="15" t="s">
        <v>93</v>
      </c>
      <c r="D39" s="15" t="s">
        <v>160</v>
      </c>
      <c r="E39" s="53">
        <v>5199.3500000000004</v>
      </c>
      <c r="F39" s="80"/>
      <c r="G39" s="17"/>
      <c r="H39" s="14"/>
      <c r="I39" s="209">
        <v>1300</v>
      </c>
      <c r="J39" s="209">
        <v>1300</v>
      </c>
      <c r="K39" s="89">
        <v>1300</v>
      </c>
      <c r="L39" s="209">
        <v>1299</v>
      </c>
      <c r="M39" s="209"/>
      <c r="O39" s="17"/>
    </row>
    <row r="40" spans="1:15" s="15" customFormat="1">
      <c r="A40" s="54"/>
      <c r="E40" s="53"/>
      <c r="F40" s="80"/>
      <c r="G40" s="17"/>
      <c r="H40" s="14"/>
      <c r="I40" s="209"/>
      <c r="J40" s="209"/>
      <c r="K40" s="89"/>
      <c r="L40" s="209"/>
      <c r="M40" s="209"/>
      <c r="O40" s="17"/>
    </row>
    <row r="41" spans="1:15" s="15" customFormat="1">
      <c r="A41" s="51" t="s">
        <v>103</v>
      </c>
      <c r="F41" s="80"/>
      <c r="G41" s="17"/>
      <c r="H41" s="14"/>
      <c r="I41" s="209"/>
      <c r="J41" s="209"/>
      <c r="K41" s="89"/>
      <c r="L41" s="209"/>
      <c r="M41" s="209"/>
      <c r="O41" s="17"/>
    </row>
    <row r="42" spans="1:15" s="15" customFormat="1">
      <c r="A42" s="52" t="s">
        <v>91</v>
      </c>
      <c r="B42" s="15" t="s">
        <v>92</v>
      </c>
      <c r="C42" s="15" t="s">
        <v>162</v>
      </c>
      <c r="D42" s="15" t="s">
        <v>94</v>
      </c>
      <c r="E42" s="53">
        <v>14500</v>
      </c>
      <c r="F42" s="80"/>
      <c r="G42" s="17"/>
      <c r="H42" s="14"/>
      <c r="I42" s="209">
        <v>7250</v>
      </c>
      <c r="J42" s="209">
        <v>7250</v>
      </c>
      <c r="K42" s="89"/>
      <c r="L42" s="209"/>
      <c r="M42" s="209"/>
      <c r="O42" s="17"/>
    </row>
    <row r="43" spans="1:15" s="15" customFormat="1">
      <c r="A43" s="52" t="s">
        <v>95</v>
      </c>
      <c r="B43" s="15" t="s">
        <v>96</v>
      </c>
      <c r="C43" s="15" t="s">
        <v>162</v>
      </c>
      <c r="D43" s="15" t="s">
        <v>7</v>
      </c>
      <c r="E43" s="53">
        <v>7500</v>
      </c>
      <c r="F43" s="80"/>
      <c r="G43" s="17"/>
      <c r="H43" s="14"/>
      <c r="I43" s="209"/>
      <c r="J43" s="209">
        <v>3750</v>
      </c>
      <c r="K43" s="89">
        <v>3750</v>
      </c>
      <c r="L43" s="209"/>
      <c r="M43" s="209"/>
      <c r="O43" s="17"/>
    </row>
    <row r="44" spans="1:15" s="15" customFormat="1">
      <c r="A44" s="52" t="s">
        <v>97</v>
      </c>
      <c r="B44" s="15" t="s">
        <v>96</v>
      </c>
      <c r="C44" s="15" t="s">
        <v>162</v>
      </c>
      <c r="D44" s="15" t="s">
        <v>7</v>
      </c>
      <c r="E44" s="53">
        <v>2000</v>
      </c>
      <c r="F44" s="80"/>
      <c r="G44" s="17"/>
      <c r="H44" s="14"/>
      <c r="I44" s="209"/>
      <c r="J44" s="209"/>
      <c r="K44" s="89"/>
      <c r="L44" s="209">
        <v>2000</v>
      </c>
      <c r="M44" s="209"/>
      <c r="O44" s="17"/>
    </row>
    <row r="45" spans="1:15" s="15" customFormat="1">
      <c r="A45" s="52" t="s">
        <v>98</v>
      </c>
      <c r="B45" s="15" t="s">
        <v>96</v>
      </c>
      <c r="C45" s="15" t="s">
        <v>162</v>
      </c>
      <c r="D45" s="15" t="s">
        <v>161</v>
      </c>
      <c r="E45" s="53">
        <v>4462.5</v>
      </c>
      <c r="F45" s="80"/>
      <c r="G45" s="17"/>
      <c r="H45" s="14"/>
      <c r="I45" s="209">
        <v>1115</v>
      </c>
      <c r="J45" s="209">
        <v>1115</v>
      </c>
      <c r="K45" s="89">
        <v>1115</v>
      </c>
      <c r="L45" s="209">
        <v>1118</v>
      </c>
      <c r="M45" s="209"/>
      <c r="O45" s="17"/>
    </row>
    <row r="46" spans="1:15" s="15" customFormat="1">
      <c r="A46" s="54"/>
      <c r="E46" s="53"/>
      <c r="F46" s="80"/>
      <c r="G46" s="17"/>
      <c r="H46" s="14"/>
      <c r="I46" s="209"/>
      <c r="J46" s="209"/>
      <c r="K46" s="89"/>
      <c r="L46" s="209"/>
      <c r="M46" s="209"/>
      <c r="O46" s="17"/>
    </row>
    <row r="47" spans="1:15" s="15" customFormat="1">
      <c r="A47" s="51" t="s">
        <v>104</v>
      </c>
      <c r="F47" s="80"/>
      <c r="G47" s="17"/>
      <c r="H47" s="14"/>
      <c r="I47" s="209"/>
      <c r="J47" s="209"/>
      <c r="K47" s="89"/>
      <c r="L47" s="209"/>
      <c r="M47" s="209"/>
      <c r="O47" s="17"/>
    </row>
    <row r="48" spans="1:15" s="15" customFormat="1">
      <c r="A48" s="52" t="s">
        <v>91</v>
      </c>
      <c r="B48" s="15" t="s">
        <v>92</v>
      </c>
      <c r="C48" s="15" t="s">
        <v>162</v>
      </c>
      <c r="D48" s="15" t="s">
        <v>94</v>
      </c>
      <c r="E48" s="53">
        <v>11600</v>
      </c>
      <c r="F48" s="80"/>
      <c r="G48" s="17"/>
      <c r="H48" s="14"/>
      <c r="I48" s="209">
        <v>5800</v>
      </c>
      <c r="J48" s="209">
        <v>5800</v>
      </c>
      <c r="K48" s="89"/>
      <c r="L48" s="209"/>
      <c r="M48" s="209"/>
      <c r="O48" s="17"/>
    </row>
    <row r="49" spans="1:16" s="15" customFormat="1">
      <c r="A49" s="52" t="s">
        <v>95</v>
      </c>
      <c r="B49" s="15" t="s">
        <v>96</v>
      </c>
      <c r="C49" s="15" t="s">
        <v>162</v>
      </c>
      <c r="D49" s="15" t="s">
        <v>7</v>
      </c>
      <c r="E49" s="53">
        <v>8200</v>
      </c>
      <c r="F49" s="80"/>
      <c r="G49" s="17"/>
      <c r="H49" s="14"/>
      <c r="I49" s="209"/>
      <c r="J49" s="209">
        <v>4100</v>
      </c>
      <c r="K49" s="89">
        <v>4100</v>
      </c>
      <c r="L49" s="209"/>
      <c r="M49" s="209"/>
      <c r="O49" s="17"/>
    </row>
    <row r="50" spans="1:16" s="15" customFormat="1">
      <c r="A50" s="52" t="s">
        <v>97</v>
      </c>
      <c r="B50" s="15" t="s">
        <v>96</v>
      </c>
      <c r="C50" s="15" t="s">
        <v>162</v>
      </c>
      <c r="D50" s="15" t="s">
        <v>7</v>
      </c>
      <c r="E50" s="53">
        <v>2000</v>
      </c>
      <c r="F50" s="80"/>
      <c r="G50" s="17"/>
      <c r="H50" s="14"/>
      <c r="I50" s="209"/>
      <c r="J50" s="209"/>
      <c r="K50" s="89"/>
      <c r="L50" s="209">
        <v>2000</v>
      </c>
      <c r="M50" s="209"/>
      <c r="O50" s="17"/>
    </row>
    <row r="51" spans="1:16" s="15" customFormat="1">
      <c r="A51" s="52" t="s">
        <v>98</v>
      </c>
      <c r="B51" s="15" t="s">
        <v>96</v>
      </c>
      <c r="C51" s="15" t="s">
        <v>162</v>
      </c>
      <c r="D51" s="15" t="s">
        <v>161</v>
      </c>
      <c r="E51" s="53">
        <v>4157.8</v>
      </c>
      <c r="F51" s="80"/>
      <c r="G51" s="17"/>
      <c r="H51" s="14"/>
      <c r="I51" s="209">
        <v>1040</v>
      </c>
      <c r="J51" s="209">
        <v>1040</v>
      </c>
      <c r="K51" s="89">
        <v>1040</v>
      </c>
      <c r="L51" s="209">
        <v>1038</v>
      </c>
      <c r="M51" s="209"/>
      <c r="O51" s="17"/>
    </row>
    <row r="52" spans="1:16" s="15" customFormat="1">
      <c r="A52" s="54"/>
      <c r="E52" s="53"/>
      <c r="F52" s="80"/>
      <c r="G52" s="17"/>
      <c r="H52" s="14"/>
      <c r="I52" s="209"/>
      <c r="J52" s="209"/>
      <c r="K52" s="89"/>
      <c r="L52" s="209"/>
      <c r="M52" s="209"/>
      <c r="O52" s="17"/>
    </row>
    <row r="53" spans="1:16" s="15" customFormat="1">
      <c r="A53" s="51" t="s">
        <v>105</v>
      </c>
      <c r="F53" s="80"/>
      <c r="G53" s="17"/>
      <c r="H53" s="14"/>
      <c r="I53" s="209"/>
      <c r="J53" s="209"/>
      <c r="K53" s="89"/>
      <c r="L53" s="209"/>
      <c r="M53" s="209"/>
      <c r="O53" s="17"/>
    </row>
    <row r="54" spans="1:16" s="15" customFormat="1">
      <c r="A54" s="52" t="s">
        <v>106</v>
      </c>
      <c r="B54" s="15" t="s">
        <v>92</v>
      </c>
      <c r="C54" s="15" t="s">
        <v>162</v>
      </c>
      <c r="D54" s="15" t="s">
        <v>94</v>
      </c>
      <c r="E54" s="53">
        <v>19400</v>
      </c>
      <c r="F54" s="80"/>
      <c r="G54" s="17"/>
      <c r="H54" s="14"/>
      <c r="I54" s="209">
        <v>9700</v>
      </c>
      <c r="J54" s="209">
        <v>9700</v>
      </c>
      <c r="K54" s="89"/>
      <c r="L54" s="209"/>
      <c r="M54" s="209"/>
      <c r="O54" s="17"/>
    </row>
    <row r="55" spans="1:16" s="15" customFormat="1">
      <c r="A55" s="52" t="s">
        <v>95</v>
      </c>
      <c r="B55" s="15" t="s">
        <v>96</v>
      </c>
      <c r="C55" s="15" t="s">
        <v>162</v>
      </c>
      <c r="D55" s="15" t="s">
        <v>7</v>
      </c>
      <c r="E55" s="53">
        <v>49700</v>
      </c>
      <c r="F55" s="80"/>
      <c r="G55" s="17"/>
      <c r="H55" s="14"/>
      <c r="I55" s="209"/>
      <c r="J55" s="209">
        <v>16500</v>
      </c>
      <c r="K55" s="89">
        <v>16500</v>
      </c>
      <c r="L55" s="209">
        <v>16700</v>
      </c>
      <c r="M55" s="209"/>
      <c r="O55" s="17"/>
    </row>
    <row r="56" spans="1:16" s="15" customFormat="1">
      <c r="A56" s="52" t="s">
        <v>97</v>
      </c>
      <c r="B56" s="15" t="s">
        <v>96</v>
      </c>
      <c r="C56" s="15" t="s">
        <v>162</v>
      </c>
      <c r="D56" s="15" t="s">
        <v>7</v>
      </c>
      <c r="E56" s="53">
        <v>3000</v>
      </c>
      <c r="F56" s="80"/>
      <c r="G56" s="17"/>
      <c r="H56" s="14"/>
      <c r="I56" s="209"/>
      <c r="J56" s="209"/>
      <c r="K56" s="89"/>
      <c r="L56" s="209"/>
      <c r="M56" s="209">
        <v>3000</v>
      </c>
      <c r="O56" s="17"/>
    </row>
    <row r="57" spans="1:16" s="15" customFormat="1">
      <c r="A57" s="52" t="s">
        <v>98</v>
      </c>
      <c r="B57" s="15" t="s">
        <v>96</v>
      </c>
      <c r="C57" s="15" t="s">
        <v>162</v>
      </c>
      <c r="D57" s="15" t="s">
        <v>161</v>
      </c>
      <c r="E57" s="53">
        <v>24900.2</v>
      </c>
      <c r="F57" s="80"/>
      <c r="G57" s="17"/>
      <c r="H57" s="14"/>
      <c r="I57" s="209">
        <v>4980</v>
      </c>
      <c r="J57" s="209">
        <v>4980</v>
      </c>
      <c r="K57" s="89">
        <v>4980</v>
      </c>
      <c r="L57" s="33">
        <v>4980</v>
      </c>
      <c r="M57" s="33">
        <v>4980</v>
      </c>
      <c r="O57" s="17"/>
    </row>
    <row r="58" spans="1:16" s="15" customFormat="1">
      <c r="A58" s="156"/>
      <c r="B58" s="156"/>
      <c r="C58" s="156"/>
      <c r="D58" s="156"/>
      <c r="E58" s="156"/>
      <c r="F58" s="261"/>
      <c r="G58" s="186"/>
      <c r="H58" s="187"/>
      <c r="I58" s="187"/>
      <c r="J58" s="187"/>
      <c r="K58" s="186"/>
      <c r="L58" s="187"/>
      <c r="M58" s="187"/>
      <c r="N58" s="188"/>
      <c r="O58" s="17"/>
    </row>
    <row r="59" spans="1:16" s="15" customFormat="1">
      <c r="A59" s="14"/>
      <c r="F59" s="38"/>
      <c r="G59" s="14"/>
      <c r="H59" s="14"/>
      <c r="I59" s="14"/>
      <c r="J59" s="14"/>
      <c r="K59" s="14"/>
      <c r="L59" s="14"/>
      <c r="M59" s="14"/>
      <c r="N59" s="14"/>
      <c r="O59" s="14"/>
      <c r="P59" s="14"/>
    </row>
    <row r="60" spans="1:16">
      <c r="A60" t="s">
        <v>20</v>
      </c>
      <c r="E60" s="191">
        <f>E8</f>
        <v>283600.34999999998</v>
      </c>
      <c r="F60" s="15"/>
      <c r="I60" s="10">
        <f>SUM(I12:I57)</f>
        <v>65555</v>
      </c>
      <c r="J60" s="10">
        <f>SUM(J12:J57)</f>
        <v>108655</v>
      </c>
      <c r="K60" s="10">
        <f>SUM(K12:K57)</f>
        <v>56905</v>
      </c>
      <c r="L60" s="10">
        <f>SUM(L12:L57)</f>
        <v>44505</v>
      </c>
      <c r="M60" s="10">
        <f>SUM(M12:M57)</f>
        <v>7980</v>
      </c>
      <c r="N60" s="10"/>
      <c r="O60" s="10"/>
    </row>
    <row r="61" spans="1:16">
      <c r="E61" s="10"/>
      <c r="F61" s="15"/>
      <c r="I61" s="10"/>
      <c r="J61" s="10"/>
      <c r="K61" s="10"/>
      <c r="L61" s="10"/>
      <c r="M61" s="10"/>
      <c r="N61" s="10"/>
      <c r="O61" s="10"/>
    </row>
    <row r="62" spans="1:16">
      <c r="A62" t="s">
        <v>12</v>
      </c>
      <c r="E62" s="10">
        <f>E60*0.8</f>
        <v>226880.28</v>
      </c>
      <c r="F62" s="15"/>
    </row>
    <row r="64" spans="1:16">
      <c r="A64" t="s">
        <v>130</v>
      </c>
      <c r="E64" s="10">
        <f>E60-E62</f>
        <v>56720.069999999978</v>
      </c>
      <c r="F64" s="69"/>
    </row>
    <row r="65" spans="5:5">
      <c r="E65" s="10"/>
    </row>
  </sheetData>
  <mergeCells count="3">
    <mergeCell ref="I2:L2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</vt:lpstr>
      <vt:lpstr>DC Ftotten</vt:lpstr>
      <vt:lpstr>MC F Glen</vt:lpstr>
      <vt:lpstr>PG NewC</vt:lpstr>
      <vt:lpstr>Arl RCC</vt:lpstr>
      <vt:lpstr>PG WH</vt:lpstr>
      <vt:lpstr>Arl A-N</vt:lpstr>
      <vt:lpstr>VRE</vt:lpstr>
      <vt:lpstr>'MC F Glen'!Print_Area</vt:lpstr>
      <vt:lpstr>'PG WH'!Print_Area</vt:lpstr>
      <vt:lpstr>Summary!Print_Area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Ross Randall</dc:creator>
  <cp:lastModifiedBy>Eric Ross Randall</cp:lastModifiedBy>
  <cp:lastPrinted>2012-03-07T21:16:07Z</cp:lastPrinted>
  <dcterms:created xsi:type="dcterms:W3CDTF">2011-08-19T18:19:46Z</dcterms:created>
  <dcterms:modified xsi:type="dcterms:W3CDTF">2012-03-15T14:56:15Z</dcterms:modified>
</cp:coreProperties>
</file>